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9095" windowHeight="8445" activeTab="3"/>
  </bookViews>
  <sheets>
    <sheet name="CALCULATOR" sheetId="4" r:id="rId1"/>
    <sheet name="FIXATION" sheetId="5" r:id="rId2"/>
    <sheet name="OPTION" sheetId="8" r:id="rId3"/>
    <sheet name="DCF (JOINED BEFORE 1-1-16)" sheetId="9" r:id="rId4"/>
  </sheets>
  <definedNames>
    <definedName name="_xlnm.Print_Area" localSheetId="1">FIXATION!$A$1:$L$31</definedName>
  </definedNames>
  <calcPr calcId="124519"/>
</workbook>
</file>

<file path=xl/calcChain.xml><?xml version="1.0" encoding="utf-8"?>
<calcChain xmlns="http://schemas.openxmlformats.org/spreadsheetml/2006/main">
  <c r="D10" i="9"/>
  <c r="A16"/>
  <c r="I16"/>
  <c r="G16"/>
  <c r="A56" i="4"/>
  <c r="B49"/>
  <c r="A23" i="9" s="1"/>
  <c r="B53" i="4"/>
  <c r="B52"/>
  <c r="B51"/>
  <c r="B50"/>
  <c r="B57" s="1"/>
  <c r="E53"/>
  <c r="E52"/>
  <c r="E51"/>
  <c r="E50"/>
  <c r="A16"/>
  <c r="G16" i="5"/>
  <c r="G23" i="9"/>
  <c r="A50" i="4"/>
  <c r="A51" s="1"/>
  <c r="A52" s="1"/>
  <c r="O4" i="5"/>
  <c r="H9" s="1"/>
  <c r="E15" i="8" s="1"/>
  <c r="H16" i="5" l="1"/>
  <c r="E16" i="9"/>
  <c r="I25"/>
  <c r="B54" i="4"/>
  <c r="A54"/>
  <c r="C25" i="9"/>
  <c r="D59" i="4"/>
  <c r="E59" s="1"/>
  <c r="D58"/>
  <c r="E58" s="1"/>
  <c r="A58" s="1"/>
  <c r="D60"/>
  <c r="E60" s="1"/>
  <c r="A57"/>
  <c r="D57" s="1"/>
  <c r="E57" s="1"/>
  <c r="Q4" i="5"/>
  <c r="C16" i="9" s="1"/>
  <c r="E26" s="1"/>
  <c r="F18" i="5"/>
  <c r="F22"/>
  <c r="H21"/>
  <c r="F20"/>
  <c r="H19"/>
  <c r="F19"/>
  <c r="F21"/>
  <c r="H18"/>
  <c r="H20"/>
  <c r="H22"/>
  <c r="H25" i="9"/>
  <c r="H27"/>
  <c r="H29"/>
  <c r="E29"/>
  <c r="H26"/>
  <c r="H28"/>
  <c r="A53" i="4"/>
  <c r="H11" i="5"/>
  <c r="F6" i="4"/>
  <c r="C21"/>
  <c r="H12" i="5" s="1"/>
  <c r="B6" i="4"/>
  <c r="Q9"/>
  <c r="Q10" s="1"/>
  <c r="Q11" s="1"/>
  <c r="Q12" s="1"/>
  <c r="Q13" s="1"/>
  <c r="Q14" s="1"/>
  <c r="Q15" s="1"/>
  <c r="Q16" s="1"/>
  <c r="Q17" s="1"/>
  <c r="Q18" s="1"/>
  <c r="Q19" s="1"/>
  <c r="Q20" s="1"/>
  <c r="Q21" s="1"/>
  <c r="Q22" s="1"/>
  <c r="Q23" s="1"/>
  <c r="Q24" s="1"/>
  <c r="Q25" s="1"/>
  <c r="Q26" s="1"/>
  <c r="Q27" s="1"/>
  <c r="Q28" s="1"/>
  <c r="Q29" s="1"/>
  <c r="Q30" s="1"/>
  <c r="Q31" s="1"/>
  <c r="Q32" s="1"/>
  <c r="Q33" s="1"/>
  <c r="Q34" s="1"/>
  <c r="Q35" s="1"/>
  <c r="Q36" s="1"/>
  <c r="Q37" s="1"/>
  <c r="Q38" s="1"/>
  <c r="Q39" s="1"/>
  <c r="Q40" s="1"/>
  <c r="Q41" s="1"/>
  <c r="P9"/>
  <c r="P10" s="1"/>
  <c r="P11" s="1"/>
  <c r="P12" s="1"/>
  <c r="P13" s="1"/>
  <c r="P14" s="1"/>
  <c r="P15" s="1"/>
  <c r="P16" s="1"/>
  <c r="P17" s="1"/>
  <c r="P18" s="1"/>
  <c r="P19" s="1"/>
  <c r="P20" s="1"/>
  <c r="P21" s="1"/>
  <c r="P22" s="1"/>
  <c r="P23" s="1"/>
  <c r="P24" s="1"/>
  <c r="P25" s="1"/>
  <c r="P26" s="1"/>
  <c r="P27" s="1"/>
  <c r="P28" s="1"/>
  <c r="P29" s="1"/>
  <c r="P30" s="1"/>
  <c r="P31" s="1"/>
  <c r="P32" s="1"/>
  <c r="P33" s="1"/>
  <c r="P34" s="1"/>
  <c r="P35" s="1"/>
  <c r="P36" s="1"/>
  <c r="P37" s="1"/>
  <c r="P38" s="1"/>
  <c r="P39" s="1"/>
  <c r="P40" s="1"/>
  <c r="P41" s="1"/>
  <c r="O9"/>
  <c r="O10" s="1"/>
  <c r="O11" s="1"/>
  <c r="O12" s="1"/>
  <c r="O13" s="1"/>
  <c r="O14" s="1"/>
  <c r="O15" s="1"/>
  <c r="O16" s="1"/>
  <c r="O17" s="1"/>
  <c r="O18" s="1"/>
  <c r="O19" s="1"/>
  <c r="O20" s="1"/>
  <c r="O21" s="1"/>
  <c r="O22" s="1"/>
  <c r="O23" s="1"/>
  <c r="O24" s="1"/>
  <c r="O25" s="1"/>
  <c r="O26" s="1"/>
  <c r="O27" s="1"/>
  <c r="O28" s="1"/>
  <c r="O29" s="1"/>
  <c r="O30" s="1"/>
  <c r="O31" s="1"/>
  <c r="O32" s="1"/>
  <c r="O33" s="1"/>
  <c r="O34" s="1"/>
  <c r="O35" s="1"/>
  <c r="O36" s="1"/>
  <c r="O37" s="1"/>
  <c r="O38" s="1"/>
  <c r="O39" s="1"/>
  <c r="O40" s="1"/>
  <c r="O41" s="1"/>
  <c r="N9"/>
  <c r="N10" s="1"/>
  <c r="N11" s="1"/>
  <c r="N12" s="1"/>
  <c r="N13" s="1"/>
  <c r="N14" s="1"/>
  <c r="N15" s="1"/>
  <c r="N16" s="1"/>
  <c r="N17" s="1"/>
  <c r="N18" s="1"/>
  <c r="N19" s="1"/>
  <c r="N20" s="1"/>
  <c r="N21" s="1"/>
  <c r="N22" s="1"/>
  <c r="N23" s="1"/>
  <c r="N24" s="1"/>
  <c r="N25" s="1"/>
  <c r="N26" s="1"/>
  <c r="N27" s="1"/>
  <c r="N28" s="1"/>
  <c r="N29" s="1"/>
  <c r="N30" s="1"/>
  <c r="N31" s="1"/>
  <c r="N32" s="1"/>
  <c r="N33" s="1"/>
  <c r="N34" s="1"/>
  <c r="N35" s="1"/>
  <c r="N36" s="1"/>
  <c r="N37" s="1"/>
  <c r="N38" s="1"/>
  <c r="N39" s="1"/>
  <c r="N40" s="1"/>
  <c r="N41" s="1"/>
  <c r="M9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39" s="1"/>
  <c r="M40" s="1"/>
  <c r="M41" s="1"/>
  <c r="L9"/>
  <c r="L10" s="1"/>
  <c r="L11" s="1"/>
  <c r="L12" s="1"/>
  <c r="L13" s="1"/>
  <c r="L14" s="1"/>
  <c r="L15" s="1"/>
  <c r="L16" s="1"/>
  <c r="L17" s="1"/>
  <c r="L18" s="1"/>
  <c r="L19" s="1"/>
  <c r="L20" s="1"/>
  <c r="L21" s="1"/>
  <c r="L22" s="1"/>
  <c r="L23" s="1"/>
  <c r="L24" s="1"/>
  <c r="L25" s="1"/>
  <c r="L26" s="1"/>
  <c r="L27" s="1"/>
  <c r="L28" s="1"/>
  <c r="L29" s="1"/>
  <c r="L30" s="1"/>
  <c r="L31" s="1"/>
  <c r="L32" s="1"/>
  <c r="L33" s="1"/>
  <c r="L34" s="1"/>
  <c r="L35" s="1"/>
  <c r="L36" s="1"/>
  <c r="L37" s="1"/>
  <c r="L38" s="1"/>
  <c r="L39" s="1"/>
  <c r="L40" s="1"/>
  <c r="L41" s="1"/>
  <c r="K9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J9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I9"/>
  <c r="I10" s="1"/>
  <c r="I11" s="1"/>
  <c r="I12" s="1"/>
  <c r="I13" s="1"/>
  <c r="I14" s="1"/>
  <c r="I15" s="1"/>
  <c r="I16" s="1"/>
  <c r="I17" s="1"/>
  <c r="I18" s="1"/>
  <c r="I19" s="1"/>
  <c r="I20" s="1"/>
  <c r="I21" s="1"/>
  <c r="I22" s="1"/>
  <c r="I23" s="1"/>
  <c r="I24" s="1"/>
  <c r="I25" s="1"/>
  <c r="I26" s="1"/>
  <c r="I27" s="1"/>
  <c r="I28" s="1"/>
  <c r="I29" s="1"/>
  <c r="I30" s="1"/>
  <c r="I31" s="1"/>
  <c r="I32" s="1"/>
  <c r="I33" s="1"/>
  <c r="I34" s="1"/>
  <c r="I35" s="1"/>
  <c r="I36" s="1"/>
  <c r="I37" s="1"/>
  <c r="I38" s="1"/>
  <c r="I39" s="1"/>
  <c r="I40" s="1"/>
  <c r="I41" s="1"/>
  <c r="A19" i="5" l="1"/>
  <c r="A18"/>
  <c r="C18"/>
  <c r="G25" i="9"/>
  <c r="G26" s="1"/>
  <c r="G27" s="1"/>
  <c r="G28" s="1"/>
  <c r="G29" s="1"/>
  <c r="E27"/>
  <c r="E28"/>
  <c r="E25"/>
  <c r="F25"/>
  <c r="A59" i="4"/>
  <c r="A60" s="1"/>
  <c r="A21" i="5" s="1"/>
  <c r="A26" i="9"/>
  <c r="A25"/>
  <c r="D61" i="4"/>
  <c r="E61" s="1"/>
  <c r="I26" i="9"/>
  <c r="F26" s="1"/>
  <c r="F20" i="4"/>
  <c r="I13" i="5" s="1"/>
  <c r="G18" s="1"/>
  <c r="G19" s="1"/>
  <c r="G20" s="1"/>
  <c r="G21" s="1"/>
  <c r="G22" s="1"/>
  <c r="A20" l="1"/>
  <c r="A27" i="9"/>
  <c r="A61" i="4"/>
  <c r="B59"/>
  <c r="A28" i="9"/>
  <c r="B60" i="4"/>
  <c r="A29" i="9"/>
  <c r="I27"/>
  <c r="K14" i="5"/>
  <c r="O50" i="4" a="1"/>
  <c r="O50" s="1"/>
  <c r="O51" s="1"/>
  <c r="L50" a="1"/>
  <c r="L50" s="1"/>
  <c r="L51" s="1"/>
  <c r="I50" a="1"/>
  <c r="I50" s="1"/>
  <c r="I51" s="1"/>
  <c r="J50" a="1"/>
  <c r="J50" s="1"/>
  <c r="J51" s="1"/>
  <c r="Q50" a="1"/>
  <c r="Q50" s="1"/>
  <c r="Q51" s="1"/>
  <c r="P50" a="1"/>
  <c r="P50" s="1"/>
  <c r="N50" a="1"/>
  <c r="N50" s="1"/>
  <c r="N51" s="1"/>
  <c r="M50" a="1"/>
  <c r="M50" s="1"/>
  <c r="M51" s="1"/>
  <c r="K50" a="1"/>
  <c r="K50" s="1"/>
  <c r="K51" s="1"/>
  <c r="C28" i="9" l="1"/>
  <c r="C21" i="5"/>
  <c r="B61" i="4"/>
  <c r="A22" i="5"/>
  <c r="C27" i="9"/>
  <c r="C20" i="5"/>
  <c r="I28" i="9"/>
  <c r="F27"/>
  <c r="C22" i="4"/>
  <c r="I14" i="5" s="1"/>
  <c r="H15" s="1"/>
  <c r="P51" i="4"/>
  <c r="F22" s="1"/>
  <c r="C22" i="5" l="1"/>
  <c r="C29" i="9"/>
  <c r="I29"/>
  <c r="F29" s="1"/>
  <c r="F28"/>
  <c r="B26" i="4"/>
  <c r="B27" s="1"/>
  <c r="L18" i="5" s="1"/>
  <c r="I18" s="1"/>
  <c r="F7" i="4"/>
  <c r="B28" l="1"/>
  <c r="L19" i="5" s="1"/>
  <c r="I19" s="1"/>
  <c r="B29" i="4" l="1"/>
  <c r="L20" i="5" s="1"/>
  <c r="I20" s="1"/>
  <c r="B30" i="4" l="1"/>
  <c r="L21" i="5" s="1"/>
  <c r="I21" l="1"/>
  <c r="I22"/>
  <c r="B31" i="4"/>
  <c r="L22" i="5" s="1"/>
  <c r="F25" i="4" l="1"/>
  <c r="H23" i="5" s="1"/>
  <c r="F31" i="4" l="1"/>
  <c r="F28"/>
  <c r="F27"/>
  <c r="F30"/>
  <c r="F26"/>
  <c r="F29" l="1"/>
  <c r="F34" s="1"/>
  <c r="B58"/>
  <c r="C26" i="9" l="1"/>
  <c r="C19" i="5"/>
</calcChain>
</file>

<file path=xl/comments1.xml><?xml version="1.0" encoding="utf-8"?>
<comments xmlns="http://schemas.openxmlformats.org/spreadsheetml/2006/main">
  <authors>
    <author>RANJAN</author>
  </authors>
  <commentList>
    <comment ref="E16" authorId="0">
      <text>
        <r>
          <rPr>
            <b/>
            <sz val="9"/>
            <color indexed="81"/>
            <rFont val="Tahoma"/>
            <family val="2"/>
          </rPr>
          <t>RANJAN:</t>
        </r>
        <r>
          <rPr>
            <sz val="9"/>
            <color indexed="81"/>
            <rFont val="Tahoma"/>
            <family val="2"/>
          </rPr>
          <t xml:space="preserve">
PUT 2016 / 2017 / 2018 / 2019</t>
        </r>
      </text>
    </comment>
  </commentList>
</comments>
</file>

<file path=xl/sharedStrings.xml><?xml version="1.0" encoding="utf-8"?>
<sst xmlns="http://schemas.openxmlformats.org/spreadsheetml/2006/main" count="218" uniqueCount="180">
  <si>
    <t>DA</t>
  </si>
  <si>
    <t>HRA</t>
  </si>
  <si>
    <t>MA</t>
  </si>
  <si>
    <t>GP</t>
  </si>
  <si>
    <t>EP</t>
  </si>
  <si>
    <t>FACTOR</t>
  </si>
  <si>
    <t>01.01.16</t>
  </si>
  <si>
    <t>01.07.16</t>
  </si>
  <si>
    <t>01.07.17</t>
  </si>
  <si>
    <t>01.07.18</t>
  </si>
  <si>
    <t>01.07.19</t>
  </si>
  <si>
    <t>NET PAY</t>
  </si>
  <si>
    <t>RESULT</t>
  </si>
  <si>
    <t>LEVEL</t>
  </si>
  <si>
    <t>PB</t>
  </si>
  <si>
    <t>PB-1</t>
  </si>
  <si>
    <t>PB-2</t>
  </si>
  <si>
    <t>PB-3</t>
  </si>
  <si>
    <t>PB-4</t>
  </si>
  <si>
    <t>PB-4A</t>
  </si>
  <si>
    <t>IoR</t>
  </si>
  <si>
    <t>MATRIX TABLE</t>
  </si>
  <si>
    <t>MAX LIMIT</t>
  </si>
  <si>
    <t xml:space="preserve">YOUR LEVEL = </t>
  </si>
  <si>
    <t>BP CAL</t>
  </si>
  <si>
    <t>BASIC PAY</t>
  </si>
  <si>
    <t>CALCULATION AS PER ROPA 2019</t>
  </si>
  <si>
    <t>CONDITIONS IN ROPA 2019</t>
  </si>
  <si>
    <t>SPOUSE'S HRA</t>
  </si>
  <si>
    <t>% OF DA</t>
  </si>
  <si>
    <t>HRA (12%)</t>
  </si>
  <si>
    <t>01.01.20</t>
  </si>
  <si>
    <t>01.07.20</t>
  </si>
  <si>
    <t>10 / 20 YC</t>
  </si>
  <si>
    <t>01.07.21</t>
  </si>
  <si>
    <t>01.07.22</t>
  </si>
  <si>
    <t>01.07.23</t>
  </si>
  <si>
    <t>SO, FINAL AS ON 01.01.2020</t>
  </si>
  <si>
    <t>GROSS</t>
  </si>
  <si>
    <t>P TAX</t>
  </si>
  <si>
    <t>MIN PF</t>
  </si>
  <si>
    <t>I TAX</t>
  </si>
  <si>
    <t>PF LOAN</t>
  </si>
  <si>
    <t>SALARY IN JAN 2020</t>
  </si>
  <si>
    <t>INCREMENTS</t>
  </si>
  <si>
    <t>N.B.: CALCULATOR WORK ONLY FOR FOLLOWING GRADE PAY</t>
  </si>
  <si>
    <t>AND NOT APPLICABLE IN CASE OF 18 YEARS BENEFIT</t>
  </si>
  <si>
    <t>ENTER YOUR BASIC PAY AS ON OR AFTER 01.01.2016</t>
  </si>
  <si>
    <t>ENTER YOUR GRADE PAY OF THE ABOVE BASIC PAY</t>
  </si>
  <si>
    <t>GROSS PAY AS ON 01.01.2016</t>
  </si>
  <si>
    <t>ENTER DATA ACCORDING TO ROPA 2009</t>
  </si>
  <si>
    <t>AS PER ROPA 2019</t>
  </si>
  <si>
    <t>NUMBER OF INCREMENTS ALLOWED TILL 01.01.2020 (1-5)</t>
  </si>
  <si>
    <t>WWW.WETHETEACHERS.IN</t>
  </si>
  <si>
    <t>TOOL BY</t>
  </si>
  <si>
    <t>TO FIT IN MATRIX</t>
  </si>
  <si>
    <t>ROPA 2019</t>
  </si>
  <si>
    <t>Annexure - III</t>
  </si>
  <si>
    <t>[see para 7 (1)]</t>
  </si>
  <si>
    <t>Form for fixation of initial pay in the revised pay structure under memorandum of West Bengal Recognized Non Govt. Aided &amp; Govt. Sponsored Educational Institutions Revision of Pay and Allowances, 2019.</t>
  </si>
  <si>
    <t>1. Name of the Institution</t>
  </si>
  <si>
    <t>:</t>
  </si>
  <si>
    <t>2. Name and designation of the Employee</t>
  </si>
  <si>
    <t>3. Status (Substantive/Officiating)</t>
  </si>
  <si>
    <t>Substantive</t>
  </si>
  <si>
    <t>4. Existing Pay Band and Grade Pay</t>
  </si>
  <si>
    <t>(a) in substantive post</t>
  </si>
  <si>
    <t>Pay Band: PB-4 (9000-40500) &amp; 
Grade Pay: 4800</t>
  </si>
  <si>
    <t>(b) in officiating/ temporary post</t>
  </si>
  <si>
    <t/>
  </si>
  <si>
    <t>5. Basic Pay in the existing pay structure as on 1/1/2016 
(Band Pay + Grade Pay)</t>
  </si>
  <si>
    <t>6. Amount arrived at by multiplying basic pay as at
sl. no. 5 above by 2.57 Rounded off to nearest rupee</t>
  </si>
  <si>
    <t>7. Applicable Level in the Pay Matrix corresponding to the
Pay Band and Grade Pay</t>
  </si>
  <si>
    <t>8. Applicable Cell in the Level either equal to or next higher of the amount at Sl. no. 6 above</t>
  </si>
  <si>
    <t>9. Revised Basic Pay (as per sl. no.8)</t>
  </si>
  <si>
    <t>___________________________________________________</t>
  </si>
  <si>
    <t>Signature of the Head of the Institution with Designation</t>
  </si>
  <si>
    <t>Pay Band: PB-1 (4900-16200) &amp; 
Grade Pay: 1700</t>
  </si>
  <si>
    <t>Pay Band: PB-1 (4900-16200) &amp; 
Grade Pay: 1800</t>
  </si>
  <si>
    <t>Pay Band: PB-4 (9000-40500) &amp; 
Grade Pay: 4400</t>
  </si>
  <si>
    <t>Pay Band: PB-4 (9000-40500) &amp; 
Grade Pay: 4700</t>
  </si>
  <si>
    <t>Pay Band: PB-4A (15600-42000) &amp; 
Grade Pay: 5400</t>
  </si>
  <si>
    <t>Pay Band: PB-3 (7100-37600) &amp; 
Grade Pay: 4100</t>
  </si>
  <si>
    <t>Pay Band: PB-3 (7100-37600) &amp; 
Grade Pay: 3900</t>
  </si>
  <si>
    <t>Pay Band: PB-3 (7100-37600) &amp; 
Grade Pay: 3600</t>
  </si>
  <si>
    <t>Pay Band: PB-3 (7100-37600) &amp; 
Grade Pay: 3200</t>
  </si>
  <si>
    <t>Pay Band: PB-2 (5400-25200) &amp; 
Grade Pay: 2900</t>
  </si>
  <si>
    <t>Pay Band: PB-2 (5400-25200) &amp; 
Grade Pay: 2600</t>
  </si>
  <si>
    <t>Pay Band: PB-2 (5400-25200) &amp; 
Grade Pay: 2300</t>
  </si>
  <si>
    <t>Pay Band: PB-2 (5400-25200) &amp; 
Grade Pay: 2100</t>
  </si>
  <si>
    <t>Pay Band: PB-2 (5400-25200) &amp; 
Grade Pay: 1900</t>
  </si>
  <si>
    <t>DETAILS</t>
  </si>
  <si>
    <t>CELL No in Level =</t>
  </si>
  <si>
    <t>&lt;-- ENTER NAME OF YOUR SCHOOL</t>
  </si>
  <si>
    <t>&lt;-- ENTER YOUR NAME, DESIGNATION</t>
  </si>
  <si>
    <t>www.wetheteachers.in</t>
  </si>
  <si>
    <t>Annexure - II</t>
  </si>
  <si>
    <t>Form of Option</t>
  </si>
  <si>
    <t>[see para 5 and 6]</t>
  </si>
  <si>
    <t xml:space="preserve">*1. I , </t>
  </si>
  <si>
    <t>hereby elect the revised</t>
  </si>
  <si>
    <t xml:space="preserve"> pay structure with effect from 1st January, 2016.</t>
  </si>
  <si>
    <t xml:space="preserve">*2. I , </t>
  </si>
  <si>
    <t>hereby elect to continue on</t>
  </si>
  <si>
    <t>the existing scale of pay of my substantive/officiating post mentioned below until :</t>
  </si>
  <si>
    <t xml:space="preserve">(a) the date of my next increment with effect from: </t>
  </si>
  <si>
    <t>(b) the date of my subsequent increment raising my pay to Rs. ………………………………………………...…... in the existing pay structure with effect from:</t>
  </si>
  <si>
    <t>(c) the date of my promotion/upgradation to the post of ………………………….……………. with effect from:</t>
  </si>
  <si>
    <t>Existing Pay Band and Grade Pay:</t>
  </si>
  <si>
    <t>Signature:</t>
  </si>
  <si>
    <t>Name:</t>
  </si>
  <si>
    <t>Designation:</t>
  </si>
  <si>
    <t>Institute/Office in which employed:</t>
  </si>
  <si>
    <t>District:</t>
  </si>
  <si>
    <t>*To be scored out, if not applicable.</t>
  </si>
  <si>
    <t>UNDERTAKING</t>
  </si>
  <si>
    <t>I hereby undertake that in the event of my pay having been fixed in a manner contrary to the provisions contained in these rules , as detected subsequently , any excess payment so made shall be refunded by me to the Government either by adjustment against future payments due to me or otherwise.</t>
  </si>
  <si>
    <t>Date:</t>
  </si>
  <si>
    <t>Place:</t>
  </si>
  <si>
    <t>WE THE TEACHERS</t>
  </si>
  <si>
    <t>INTERNET</t>
  </si>
  <si>
    <t xml:space="preserve">(LEVEL - </t>
  </si>
  <si>
    <t>)</t>
  </si>
  <si>
    <t>LEVEL -</t>
  </si>
  <si>
    <t>10. Date of next increment and amounts</t>
  </si>
  <si>
    <t>BASIC PAY (Rs)</t>
  </si>
  <si>
    <t>INCREMENT (Rs)</t>
  </si>
  <si>
    <t>W.E.F.</t>
  </si>
  <si>
    <t>REASON</t>
  </si>
  <si>
    <t xml:space="preserve">  Rs.</t>
  </si>
  <si>
    <t>11. Revised Basic Pay (as on 01/01/2020)</t>
  </si>
  <si>
    <t>12. Date of next Annual Increment</t>
  </si>
  <si>
    <t>DATA CAPTURE FORMAT (DCF) FOR SUBMISSION OF</t>
  </si>
  <si>
    <t>OPTION &amp; FIXATION UNDER ROPA-2019</t>
  </si>
  <si>
    <t>FOR USE OF HOI (FOR SECONDRY) / SIS (FOR PRIMARY)/DPSC(FOR DPSC STAFF)</t>
  </si>
  <si>
    <t>(TO BE FILLED MANUALLY BEFORE SUBMISSION OF OPTION ONLINE)</t>
  </si>
  <si>
    <t>TABLE – 1: PAY DETAILS UNDER ROPA-2009 ON DATE OF OPTION</t>
  </si>
  <si>
    <t>REVISED PAY UNDER ROPA-2019 ON DATE OF OPTION TO BE CALCULATED BY SYSTEM (OSMS)</t>
  </si>
  <si>
    <t>OPTION FORM TO BE GENERATED (PDF) BY OSMS ON THE BASIS OF ABOVE TABLE</t>
  </si>
  <si>
    <t>TABLE – 2 : SUBSEQUENT INCREMENTS UNDER ROPA – 2009 (BASIC PAY TO BE TALLIED WITH SERVICE BOOK)</t>
  </si>
  <si>
    <t>IN THE PERIOD AFTER DATE OF OPTION TO 31/DECEMBER/2019</t>
  </si>
  <si>
    <t>DATE OF EFFECT</t>
  </si>
  <si>
    <t>SCALE OF PAY</t>
  </si>
  <si>
    <t>PAY IN PAY BAND</t>
  </si>
  <si>
    <t>GRADE PAY</t>
  </si>
  <si>
    <t>SUBSEQUENT PAYS UNDER ROPA-2019 TO BE CALCULATED BY SYSTEM (OSMS)</t>
  </si>
  <si>
    <t>THE LAST BASIC PAY ARRIVED IN THE TABLE ABOVE TO BE TALLIED WITH SYSTEM (OSMS) OF DECEMBER 2019.</t>
  </si>
  <si>
    <t>REVISED BASIC PAY UNDER ROPA-2019 CALCULATED BY THE SYSTEM TO BE FORWARDED TOTHE REVISED SALARY</t>
  </si>
  <si>
    <t>TABLE (ROPA-2019) OF JANUARY – 2020 IN OSMS. AFTER ACCEPTANCE BY DDO ONLINE.</t>
  </si>
  <si>
    <t>*REASON:</t>
  </si>
  <si>
    <t>ANNUAL INCREMENT (APPLICABLE FOR DATE OF EFFECT IS 01/JULY EVERY YEAR)</t>
  </si>
  <si>
    <t>PROMOTION / 18 YR INCREMENT (APPLICABLE FOR 1 INCREMENT ON PREVIOUS PAY WITH ENHANCEMENT OF GRADE PAY)</t>
  </si>
  <si>
    <t>10YR / 20 YR INCREMENT (1 INCREMENT ON PREVIOUS PAY, NO CHANGE IN GRADE PAY)</t>
  </si>
  <si>
    <t>UPGRADATION (ENHANCEMNT OF SCALE OF PAY AND/OR GRADE PAY)</t>
  </si>
  <si>
    <t>*SCALE OF PAY : 4900-16200, 5400-25200, 7100-37600, 9000-40500</t>
  </si>
  <si>
    <t>NOTE</t>
  </si>
  <si>
    <t>EMPLOYEE JOINED AFTER 01/01/2016 TO FILL UP TABLE – 2 ONLY</t>
  </si>
  <si>
    <t>PRIMARY TEACHERS JOINED AFTER 01/01/2016 TO COME UNDER ROPA-2019 ON 01/08/2019 (WITH ENHANCED PAY)</t>
  </si>
  <si>
    <t>NAME OF THE SCHOOL/OFFICE:</t>
  </si>
  <si>
    <t>NAME OF THE EMPLOYEE:</t>
  </si>
  <si>
    <t>DESIGNATION:</t>
  </si>
  <si>
    <t>DATE OF OPTION</t>
  </si>
  <si>
    <t>4900-16200</t>
  </si>
  <si>
    <t>5400-25200</t>
  </si>
  <si>
    <t>7100-37600</t>
  </si>
  <si>
    <t>9000-40500</t>
  </si>
  <si>
    <t>15600-42000</t>
  </si>
  <si>
    <t>AGP            (IF ANY)</t>
  </si>
  <si>
    <t>DATE</t>
  </si>
  <si>
    <t>01.01.2016</t>
  </si>
  <si>
    <t>01.07.2016</t>
  </si>
  <si>
    <t>01.07.2017</t>
  </si>
  <si>
    <t>01.07.2018</t>
  </si>
  <si>
    <t>01.07.2019</t>
  </si>
  <si>
    <t>N/A</t>
  </si>
  <si>
    <t>N</t>
  </si>
  <si>
    <t>ENTER YEAR</t>
  </si>
  <si>
    <t>DATE OF OPTION:</t>
  </si>
  <si>
    <t>6TH PAY COMMISION (ROPA 2019) CALCULATOR (V5.0)</t>
  </si>
  <si>
    <t>ASSISTANT TEACHER</t>
  </si>
</sst>
</file>

<file path=xl/styles.xml><?xml version="1.0" encoding="utf-8"?>
<styleSheet xmlns="http://schemas.openxmlformats.org/spreadsheetml/2006/main">
  <numFmts count="1">
    <numFmt numFmtId="164" formatCode="[$-409]d/mmm/yyyy;@"/>
  </numFmts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0" tint="-0.34998626667073579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193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1" xfId="0" applyFont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>
      <alignment horizontal="center" vertical="center"/>
    </xf>
    <xf numFmtId="3" fontId="0" fillId="0" borderId="0" xfId="0" applyNumberFormat="1" applyFill="1" applyBorder="1" applyAlignment="1">
      <alignment horizontal="right" vertical="center"/>
    </xf>
    <xf numFmtId="0" fontId="0" fillId="0" borderId="0" xfId="0" applyFont="1" applyAlignment="1">
      <alignment horizontal="center"/>
    </xf>
    <xf numFmtId="0" fontId="0" fillId="0" borderId="1" xfId="0" applyFill="1" applyBorder="1" applyAlignment="1" applyProtection="1">
      <alignment horizontal="center" wrapText="1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1" xfId="0" applyFont="1" applyFill="1" applyBorder="1" applyAlignment="1" applyProtection="1">
      <alignment horizontal="center"/>
      <protection hidden="1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0" borderId="0" xfId="0" applyFont="1" applyProtection="1">
      <protection hidden="1"/>
    </xf>
    <xf numFmtId="0" fontId="0" fillId="3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4" fillId="6" borderId="1" xfId="0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0" fontId="0" fillId="5" borderId="1" xfId="0" applyFont="1" applyFill="1" applyBorder="1" applyAlignment="1" applyProtection="1">
      <alignment horizontal="center"/>
      <protection hidden="1"/>
    </xf>
    <xf numFmtId="0" fontId="0" fillId="7" borderId="1" xfId="0" applyFill="1" applyBorder="1" applyAlignment="1" applyProtection="1">
      <alignment horizontal="center"/>
      <protection hidden="1"/>
    </xf>
    <xf numFmtId="0" fontId="0" fillId="8" borderId="1" xfId="0" applyFill="1" applyBorder="1" applyAlignment="1" applyProtection="1">
      <alignment horizontal="center"/>
      <protection hidden="1"/>
    </xf>
    <xf numFmtId="0" fontId="0" fillId="9" borderId="1" xfId="0" applyFill="1" applyBorder="1" applyAlignment="1" applyProtection="1">
      <alignment horizontal="center"/>
      <protection hidden="1"/>
    </xf>
    <xf numFmtId="0" fontId="0" fillId="9" borderId="1" xfId="0" applyFont="1" applyFill="1" applyBorder="1" applyAlignment="1" applyProtection="1">
      <alignment horizontal="center"/>
      <protection hidden="1"/>
    </xf>
    <xf numFmtId="0" fontId="7" fillId="0" borderId="9" xfId="0" applyFont="1" applyBorder="1" applyAlignment="1" applyProtection="1">
      <alignment horizontal="center" vertical="center"/>
      <protection hidden="1"/>
    </xf>
    <xf numFmtId="9" fontId="0" fillId="3" borderId="1" xfId="0" applyNumberFormat="1" applyFill="1" applyBorder="1" applyAlignment="1" applyProtection="1">
      <alignment horizontal="center"/>
      <protection locked="0"/>
    </xf>
    <xf numFmtId="9" fontId="2" fillId="0" borderId="1" xfId="0" applyNumberFormat="1" applyFont="1" applyFill="1" applyBorder="1" applyAlignment="1" applyProtection="1">
      <alignment horizontal="center"/>
      <protection locked="0"/>
    </xf>
    <xf numFmtId="0" fontId="0" fillId="0" borderId="3" xfId="0" applyBorder="1" applyProtection="1">
      <protection hidden="1"/>
    </xf>
    <xf numFmtId="0" fontId="0" fillId="0" borderId="1" xfId="0" applyBorder="1" applyProtection="1">
      <protection hidden="1"/>
    </xf>
    <xf numFmtId="3" fontId="7" fillId="0" borderId="1" xfId="0" applyNumberFormat="1" applyFont="1" applyFill="1" applyBorder="1" applyAlignment="1" applyProtection="1">
      <alignment horizontal="center" vertical="center"/>
      <protection hidden="1"/>
    </xf>
    <xf numFmtId="0" fontId="1" fillId="13" borderId="1" xfId="0" applyFont="1" applyFill="1" applyBorder="1" applyAlignment="1" applyProtection="1">
      <alignment horizontal="center"/>
      <protection hidden="1"/>
    </xf>
    <xf numFmtId="0" fontId="1" fillId="11" borderId="3" xfId="0" applyFont="1" applyFill="1" applyBorder="1" applyAlignment="1" applyProtection="1">
      <alignment horizontal="center"/>
      <protection hidden="1"/>
    </xf>
    <xf numFmtId="0" fontId="1" fillId="11" borderId="1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0" fillId="0" borderId="2" xfId="0" applyFont="1" applyBorder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1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3" fillId="0" borderId="0" xfId="1" applyAlignment="1" applyProtection="1">
      <protection hidden="1"/>
    </xf>
    <xf numFmtId="0" fontId="0" fillId="0" borderId="0" xfId="0" applyProtection="1">
      <protection locked="0"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vertical="center" wrapText="1"/>
      <protection locked="0" hidden="1"/>
    </xf>
    <xf numFmtId="0" fontId="0" fillId="0" borderId="0" xfId="0" applyAlignment="1">
      <alignment vertical="center"/>
    </xf>
    <xf numFmtId="0" fontId="7" fillId="0" borderId="0" xfId="0" applyFont="1"/>
    <xf numFmtId="0" fontId="7" fillId="0" borderId="0" xfId="0" applyFont="1" applyBorder="1" applyAlignment="1" applyProtection="1">
      <alignment horizontal="center"/>
      <protection hidden="1"/>
    </xf>
    <xf numFmtId="0" fontId="7" fillId="0" borderId="0" xfId="0" applyFont="1" applyAlignment="1">
      <alignment horizontal="center"/>
    </xf>
    <xf numFmtId="0" fontId="16" fillId="4" borderId="1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>
      <alignment horizontal="left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16" xfId="0" applyBorder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5" fillId="0" borderId="1" xfId="0" applyFont="1" applyBorder="1" applyAlignment="1" applyProtection="1">
      <alignment horizontal="center" vertical="center"/>
      <protection hidden="1"/>
    </xf>
    <xf numFmtId="0" fontId="0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/>
    <xf numFmtId="0" fontId="0" fillId="0" borderId="1" xfId="0" applyBorder="1"/>
    <xf numFmtId="0" fontId="19" fillId="0" borderId="0" xfId="0" applyFont="1" applyAlignment="1"/>
    <xf numFmtId="0" fontId="0" fillId="0" borderId="1" xfId="0" applyBorder="1" applyAlignment="1" applyProtection="1">
      <alignment horizontal="center" vertical="center" wrapText="1"/>
      <protection hidden="1"/>
    </xf>
    <xf numFmtId="0" fontId="12" fillId="0" borderId="1" xfId="0" applyFont="1" applyBorder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15" fillId="0" borderId="11" xfId="0" applyFont="1" applyBorder="1" applyAlignment="1" applyProtection="1">
      <alignment horizontal="right" vertical="center"/>
      <protection hidden="1"/>
    </xf>
    <xf numFmtId="0" fontId="15" fillId="0" borderId="9" xfId="0" applyFont="1" applyBorder="1" applyAlignment="1" applyProtection="1">
      <alignment horizontal="left" vertical="center"/>
      <protection hidden="1"/>
    </xf>
    <xf numFmtId="0" fontId="15" fillId="0" borderId="12" xfId="0" applyFont="1" applyBorder="1" applyAlignment="1" applyProtection="1">
      <alignment vertical="center"/>
      <protection hidden="1"/>
    </xf>
    <xf numFmtId="0" fontId="15" fillId="0" borderId="9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0" fillId="0" borderId="9" xfId="0" applyFont="1" applyBorder="1" applyAlignment="1"/>
    <xf numFmtId="0" fontId="0" fillId="3" borderId="11" xfId="0" applyFill="1" applyBorder="1" applyAlignment="1" applyProtection="1">
      <protection locked="0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7" fillId="0" borderId="0" xfId="0" applyFont="1" applyProtection="1">
      <protection hidden="1"/>
    </xf>
    <xf numFmtId="0" fontId="2" fillId="0" borderId="0" xfId="0" applyFont="1" applyFill="1" applyBorder="1" applyAlignment="1" applyProtection="1">
      <alignment horizontal="center" wrapText="1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wrapText="1"/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15" fillId="0" borderId="1" xfId="0" applyFont="1" applyBorder="1" applyAlignment="1" applyProtection="1">
      <alignment horizontal="center" vertical="center"/>
      <protection hidden="1"/>
    </xf>
    <xf numFmtId="0" fontId="22" fillId="0" borderId="0" xfId="0" applyFont="1"/>
    <xf numFmtId="0" fontId="10" fillId="0" borderId="5" xfId="0" applyFont="1" applyFill="1" applyBorder="1" applyAlignment="1" applyProtection="1">
      <alignment horizontal="center" vertical="center" wrapText="1"/>
      <protection hidden="1"/>
    </xf>
    <xf numFmtId="0" fontId="10" fillId="0" borderId="6" xfId="0" applyFont="1" applyFill="1" applyBorder="1" applyAlignment="1" applyProtection="1">
      <alignment horizontal="center" vertical="center" wrapText="1"/>
      <protection hidden="1"/>
    </xf>
    <xf numFmtId="0" fontId="10" fillId="0" borderId="4" xfId="0" applyFont="1" applyFill="1" applyBorder="1" applyAlignment="1" applyProtection="1">
      <alignment horizontal="center" vertical="center" wrapText="1"/>
      <protection hidden="1"/>
    </xf>
    <xf numFmtId="0" fontId="10" fillId="0" borderId="7" xfId="0" applyFont="1" applyFill="1" applyBorder="1" applyAlignment="1" applyProtection="1">
      <alignment horizontal="center" vertical="center" wrapText="1"/>
      <protection hidden="1"/>
    </xf>
    <xf numFmtId="0" fontId="5" fillId="4" borderId="2" xfId="0" applyFont="1" applyFill="1" applyBorder="1" applyAlignment="1" applyProtection="1">
      <alignment horizontal="center" vertical="center"/>
      <protection hidden="1"/>
    </xf>
    <xf numFmtId="0" fontId="5" fillId="4" borderId="8" xfId="0" applyFont="1" applyFill="1" applyBorder="1" applyAlignment="1" applyProtection="1">
      <alignment horizontal="center" vertical="center"/>
      <protection hidden="1"/>
    </xf>
    <xf numFmtId="0" fontId="0" fillId="0" borderId="9" xfId="0" applyFont="1" applyBorder="1" applyAlignment="1">
      <alignment horizontal="center"/>
    </xf>
    <xf numFmtId="0" fontId="7" fillId="0" borderId="11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13" fillId="0" borderId="0" xfId="1" applyAlignment="1" applyProtection="1">
      <alignment horizontal="right"/>
      <protection hidden="1"/>
    </xf>
    <xf numFmtId="0" fontId="0" fillId="0" borderId="0" xfId="0" applyFont="1" applyAlignment="1" applyProtection="1">
      <alignment horizontal="right"/>
      <protection hidden="1"/>
    </xf>
    <xf numFmtId="0" fontId="3" fillId="1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 vertical="center" wrapText="1"/>
      <protection hidden="1"/>
    </xf>
    <xf numFmtId="0" fontId="0" fillId="11" borderId="1" xfId="0" applyFill="1" applyBorder="1" applyAlignment="1" applyProtection="1">
      <alignment horizontal="center"/>
      <protection hidden="1"/>
    </xf>
    <xf numFmtId="0" fontId="0" fillId="11" borderId="1" xfId="0" applyFont="1" applyFill="1" applyBorder="1" applyAlignment="1" applyProtection="1">
      <alignment horizontal="center"/>
      <protection hidden="1"/>
    </xf>
    <xf numFmtId="0" fontId="6" fillId="12" borderId="1" xfId="0" applyFont="1" applyFill="1" applyBorder="1" applyAlignment="1" applyProtection="1">
      <alignment horizont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0" fontId="0" fillId="0" borderId="10" xfId="0" applyFont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0" fontId="0" fillId="0" borderId="11" xfId="0" applyFont="1" applyBorder="1" applyAlignment="1" applyProtection="1">
      <alignment horizontal="left"/>
      <protection hidden="1"/>
    </xf>
    <xf numFmtId="0" fontId="0" fillId="0" borderId="9" xfId="0" applyFont="1" applyBorder="1" applyAlignment="1" applyProtection="1">
      <alignment horizontal="left"/>
      <protection hidden="1"/>
    </xf>
    <xf numFmtId="0" fontId="0" fillId="0" borderId="12" xfId="0" applyFont="1" applyBorder="1" applyAlignment="1" applyProtection="1">
      <alignment horizontal="left"/>
      <protection hidden="1"/>
    </xf>
    <xf numFmtId="0" fontId="0" fillId="14" borderId="1" xfId="0" applyFill="1" applyBorder="1" applyAlignment="1" applyProtection="1">
      <alignment horizontal="center"/>
      <protection hidden="1"/>
    </xf>
    <xf numFmtId="14" fontId="7" fillId="3" borderId="1" xfId="0" applyNumberFormat="1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0" fontId="4" fillId="15" borderId="1" xfId="0" applyFont="1" applyFill="1" applyBorder="1" applyAlignment="1" applyProtection="1">
      <alignment horizontal="center"/>
      <protection hidden="1"/>
    </xf>
    <xf numFmtId="0" fontId="0" fillId="10" borderId="1" xfId="0" applyFill="1" applyBorder="1" applyAlignment="1" applyProtection="1">
      <alignment horizontal="center"/>
      <protection hidden="1"/>
    </xf>
    <xf numFmtId="0" fontId="0" fillId="10" borderId="1" xfId="0" applyFont="1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Font="1" applyBorder="1" applyAlignment="1" applyProtection="1">
      <alignment horizontal="center"/>
      <protection hidden="1"/>
    </xf>
    <xf numFmtId="0" fontId="0" fillId="2" borderId="1" xfId="0" applyFill="1" applyBorder="1" applyAlignment="1" applyProtection="1">
      <alignment horizontal="center" vertical="center" wrapText="1"/>
      <protection hidden="1"/>
    </xf>
    <xf numFmtId="0" fontId="0" fillId="2" borderId="1" xfId="0" applyFont="1" applyFill="1" applyBorder="1" applyAlignment="1" applyProtection="1">
      <alignment horizontal="center" vertical="center" wrapText="1"/>
      <protection hidden="1"/>
    </xf>
    <xf numFmtId="0" fontId="0" fillId="0" borderId="11" xfId="0" applyBorder="1" applyAlignment="1" applyProtection="1">
      <alignment horizontal="right"/>
      <protection hidden="1"/>
    </xf>
    <xf numFmtId="0" fontId="0" fillId="0" borderId="9" xfId="0" applyBorder="1" applyAlignment="1" applyProtection="1">
      <alignment horizontal="right"/>
      <protection hidden="1"/>
    </xf>
    <xf numFmtId="0" fontId="0" fillId="0" borderId="12" xfId="0" applyBorder="1" applyAlignment="1" applyProtection="1">
      <alignment horizontal="right"/>
      <protection hidden="1"/>
    </xf>
    <xf numFmtId="0" fontId="4" fillId="0" borderId="11" xfId="0" applyFont="1" applyBorder="1" applyAlignment="1" applyProtection="1">
      <alignment horizontal="right"/>
      <protection hidden="1"/>
    </xf>
    <xf numFmtId="0" fontId="4" fillId="0" borderId="9" xfId="0" applyFont="1" applyBorder="1" applyAlignment="1" applyProtection="1">
      <alignment horizontal="right"/>
      <protection hidden="1"/>
    </xf>
    <xf numFmtId="0" fontId="4" fillId="0" borderId="12" xfId="0" applyFont="1" applyBorder="1" applyAlignment="1" applyProtection="1">
      <alignment horizontal="right"/>
      <protection hidden="1"/>
    </xf>
    <xf numFmtId="0" fontId="9" fillId="0" borderId="11" xfId="0" applyFont="1" applyBorder="1" applyAlignment="1" applyProtection="1">
      <alignment horizontal="right"/>
      <protection hidden="1"/>
    </xf>
    <xf numFmtId="0" fontId="0" fillId="0" borderId="12" xfId="0" applyBorder="1"/>
    <xf numFmtId="0" fontId="0" fillId="0" borderId="9" xfId="0" applyFont="1" applyBorder="1" applyAlignment="1" applyProtection="1">
      <alignment horizontal="center"/>
      <protection hidden="1"/>
    </xf>
    <xf numFmtId="0" fontId="15" fillId="0" borderId="11" xfId="0" applyFont="1" applyFill="1" applyBorder="1" applyAlignment="1" applyProtection="1">
      <alignment horizontal="right" vertical="center" wrapText="1"/>
      <protection hidden="1"/>
    </xf>
    <xf numFmtId="0" fontId="15" fillId="0" borderId="12" xfId="0" applyFont="1" applyFill="1" applyBorder="1" applyAlignment="1" applyProtection="1">
      <alignment horizontal="right" vertical="center" wrapText="1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/>
      <protection locked="0" hidden="1"/>
    </xf>
    <xf numFmtId="1" fontId="18" fillId="0" borderId="0" xfId="0" applyNumberFormat="1" applyFont="1" applyAlignment="1" applyProtection="1">
      <alignment horizontal="left" vertical="center" indent="1"/>
      <protection hidden="1"/>
    </xf>
    <xf numFmtId="164" fontId="17" fillId="0" borderId="0" xfId="0" applyNumberFormat="1" applyFont="1" applyAlignment="1" applyProtection="1">
      <alignment horizontal="left" vertical="center" indent="1"/>
      <protection hidden="1"/>
    </xf>
    <xf numFmtId="14" fontId="7" fillId="0" borderId="1" xfId="0" applyNumberFormat="1" applyFont="1" applyBorder="1" applyAlignment="1" applyProtection="1">
      <alignment horizontal="center" vertical="center"/>
      <protection hidden="1"/>
    </xf>
    <xf numFmtId="0" fontId="7" fillId="0" borderId="11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 wrapText="1" indent="1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left" vertical="center" wrapText="1" indent="1"/>
      <protection locked="0"/>
    </xf>
    <xf numFmtId="0" fontId="15" fillId="0" borderId="1" xfId="0" applyFont="1" applyBorder="1" applyAlignment="1" applyProtection="1">
      <alignment horizontal="center" vertical="center"/>
      <protection hidden="1"/>
    </xf>
    <xf numFmtId="0" fontId="15" fillId="0" borderId="2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vertical="center" indent="4"/>
      <protection hidden="1"/>
    </xf>
    <xf numFmtId="0" fontId="1" fillId="0" borderId="0" xfId="0" applyFont="1" applyAlignment="1" applyProtection="1">
      <alignment horizontal="left" vertical="center" wrapText="1" indent="1"/>
      <protection hidden="1"/>
    </xf>
    <xf numFmtId="0" fontId="15" fillId="0" borderId="12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/>
      <protection locked="0"/>
    </xf>
    <xf numFmtId="0" fontId="22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right"/>
    </xf>
    <xf numFmtId="0" fontId="1" fillId="0" borderId="14" xfId="0" applyFont="1" applyBorder="1" applyAlignment="1" applyProtection="1">
      <alignment horizontal="left"/>
      <protection hidden="1"/>
    </xf>
    <xf numFmtId="0" fontId="14" fillId="0" borderId="0" xfId="0" applyFont="1" applyAlignment="1" applyProtection="1">
      <alignment horizontal="center" vertical="center"/>
      <protection locked="0" hidden="1"/>
    </xf>
    <xf numFmtId="0" fontId="1" fillId="0" borderId="0" xfId="0" applyFont="1" applyAlignment="1" applyProtection="1">
      <alignment horizontal="center" vertical="center"/>
      <protection locked="0" hidden="1"/>
    </xf>
    <xf numFmtId="14" fontId="12" fillId="0" borderId="11" xfId="0" applyNumberFormat="1" applyFont="1" applyBorder="1" applyAlignment="1" applyProtection="1">
      <alignment horizontal="center" vertical="center"/>
      <protection hidden="1"/>
    </xf>
    <xf numFmtId="0" fontId="12" fillId="0" borderId="12" xfId="0" applyFont="1" applyBorder="1" applyAlignment="1" applyProtection="1">
      <alignment horizontal="center" vertical="center"/>
      <protection hidden="1"/>
    </xf>
    <xf numFmtId="0" fontId="12" fillId="0" borderId="11" xfId="0" applyFont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right" vertical="center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wbfin.nic.in/writereaddata/ROPA%202019.pdf" TargetMode="External"/><Relationship Id="rId1" Type="http://schemas.openxmlformats.org/officeDocument/2006/relationships/hyperlink" Target="http://www.wetheteachers.in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63"/>
  <sheetViews>
    <sheetView zoomScaleSheetLayoutView="80" workbookViewId="0">
      <selection activeCell="F4" sqref="F4"/>
    </sheetView>
  </sheetViews>
  <sheetFormatPr defaultRowHeight="15"/>
  <cols>
    <col min="1" max="1" width="11.28515625" style="2" customWidth="1"/>
    <col min="2" max="2" width="10.28515625" style="2" customWidth="1"/>
    <col min="3" max="3" width="9.85546875" style="2" customWidth="1"/>
    <col min="4" max="4" width="10" style="2" customWidth="1"/>
    <col min="5" max="5" width="11.7109375" style="2" customWidth="1"/>
    <col min="6" max="6" width="9.140625" style="2"/>
    <col min="7" max="17" width="9.140625" style="2" customWidth="1"/>
    <col min="18" max="18" width="9.140625" style="2" hidden="1" customWidth="1"/>
    <col min="19" max="16384" width="9.140625" style="2"/>
  </cols>
  <sheetData>
    <row r="1" spans="1:18" ht="15" customHeight="1">
      <c r="A1" s="107" t="s">
        <v>178</v>
      </c>
      <c r="B1" s="107"/>
      <c r="C1" s="107"/>
      <c r="D1" s="107"/>
      <c r="E1" s="107"/>
      <c r="F1" s="107"/>
      <c r="G1" s="4"/>
    </row>
    <row r="2" spans="1:18" ht="15" customHeight="1">
      <c r="A2" s="102"/>
      <c r="B2" s="102"/>
      <c r="C2" s="102"/>
      <c r="D2" s="102"/>
      <c r="E2" s="102"/>
      <c r="F2" s="102"/>
    </row>
    <row r="3" spans="1:18" ht="15" customHeight="1">
      <c r="A3" s="110" t="s">
        <v>50</v>
      </c>
      <c r="B3" s="111"/>
      <c r="C3" s="111"/>
      <c r="D3" s="111"/>
      <c r="E3" s="111"/>
      <c r="F3" s="111"/>
      <c r="H3" s="127" t="s">
        <v>21</v>
      </c>
      <c r="I3" s="128"/>
      <c r="J3" s="128"/>
      <c r="K3" s="128"/>
      <c r="L3" s="128"/>
      <c r="M3" s="128"/>
      <c r="N3" s="128"/>
      <c r="O3" s="128"/>
      <c r="P3" s="128"/>
      <c r="Q3" s="128"/>
    </row>
    <row r="4" spans="1:18" ht="15" customHeight="1">
      <c r="A4" s="133" t="s">
        <v>47</v>
      </c>
      <c r="B4" s="134"/>
      <c r="C4" s="134"/>
      <c r="D4" s="134"/>
      <c r="E4" s="135"/>
      <c r="F4" s="71"/>
      <c r="H4" s="13" t="s">
        <v>14</v>
      </c>
      <c r="I4" s="13" t="s">
        <v>15</v>
      </c>
      <c r="J4" s="129" t="s">
        <v>16</v>
      </c>
      <c r="K4" s="129"/>
      <c r="L4" s="129" t="s">
        <v>17</v>
      </c>
      <c r="M4" s="130"/>
      <c r="N4" s="129" t="s">
        <v>18</v>
      </c>
      <c r="O4" s="130"/>
      <c r="P4" s="130"/>
      <c r="Q4" s="7" t="s">
        <v>19</v>
      </c>
    </row>
    <row r="5" spans="1:18" ht="15" customHeight="1">
      <c r="A5" s="133" t="s">
        <v>48</v>
      </c>
      <c r="B5" s="134"/>
      <c r="C5" s="134"/>
      <c r="D5" s="134"/>
      <c r="E5" s="135"/>
      <c r="F5" s="71"/>
      <c r="G5" s="5"/>
      <c r="H5" s="17" t="s">
        <v>3</v>
      </c>
      <c r="I5" s="17">
        <v>1700</v>
      </c>
      <c r="J5" s="17">
        <v>2300</v>
      </c>
      <c r="K5" s="17">
        <v>2600</v>
      </c>
      <c r="L5" s="17">
        <v>3900</v>
      </c>
      <c r="M5" s="17">
        <v>4100</v>
      </c>
      <c r="N5" s="17">
        <v>4400</v>
      </c>
      <c r="O5" s="18">
        <v>4700</v>
      </c>
      <c r="P5" s="17">
        <v>4800</v>
      </c>
      <c r="Q5" s="17">
        <v>5400</v>
      </c>
    </row>
    <row r="6" spans="1:18" ht="15" customHeight="1">
      <c r="A6" s="39"/>
      <c r="B6" s="37" t="str">
        <f>IF(F5=I5,"1",IF(F5=J5,"5",IF(F5=K5,"6",IF(F5=L5,"10",IF(F5=M5,"11",IF(F5=N5,"12",IF(F5=O5,"14",IF(F5=P5,"15",IF(F5=Q5,"16","0")))))))))</f>
        <v>0</v>
      </c>
      <c r="C6" s="133" t="s">
        <v>49</v>
      </c>
      <c r="D6" s="134"/>
      <c r="E6" s="135"/>
      <c r="F6" s="40">
        <f>IF(F4=0,0,ROUND(F4*75%,0)+ROUND(F4*15%,0)+300+F4)</f>
        <v>0</v>
      </c>
      <c r="H6" s="13" t="s">
        <v>4</v>
      </c>
      <c r="I6" s="13">
        <v>6600</v>
      </c>
      <c r="J6" s="13">
        <v>8160</v>
      </c>
      <c r="K6" s="13">
        <v>8840</v>
      </c>
      <c r="L6" s="13">
        <v>12270</v>
      </c>
      <c r="M6" s="13">
        <v>12750</v>
      </c>
      <c r="N6" s="13">
        <v>13400</v>
      </c>
      <c r="O6" s="14">
        <v>14930</v>
      </c>
      <c r="P6" s="13">
        <v>15960</v>
      </c>
      <c r="Q6" s="13">
        <v>21000</v>
      </c>
    </row>
    <row r="7" spans="1:18" ht="15" customHeight="1">
      <c r="A7" s="139" t="s">
        <v>51</v>
      </c>
      <c r="B7" s="140"/>
      <c r="C7" s="136" t="s">
        <v>49</v>
      </c>
      <c r="D7" s="137"/>
      <c r="E7" s="138"/>
      <c r="F7" s="34">
        <f>IF(F4=0,0,C22+ROUND(C22*12%,0)+500)</f>
        <v>0</v>
      </c>
      <c r="H7" s="21" t="s">
        <v>20</v>
      </c>
      <c r="I7" s="19">
        <v>2.57</v>
      </c>
      <c r="J7" s="19">
        <v>2.57</v>
      </c>
      <c r="K7" s="19">
        <v>2.57</v>
      </c>
      <c r="L7" s="20">
        <v>2.62</v>
      </c>
      <c r="M7" s="20">
        <v>2.62</v>
      </c>
      <c r="N7" s="21">
        <v>2.67</v>
      </c>
      <c r="O7" s="22">
        <v>2.67</v>
      </c>
      <c r="P7" s="21">
        <v>2.67</v>
      </c>
      <c r="Q7" s="21">
        <v>2.67</v>
      </c>
    </row>
    <row r="8" spans="1:18" ht="15" customHeight="1">
      <c r="A8" s="141"/>
      <c r="B8" s="141"/>
      <c r="C8" s="141"/>
      <c r="D8" s="141"/>
      <c r="E8" s="141"/>
      <c r="F8" s="141"/>
      <c r="H8" s="8" t="s">
        <v>13</v>
      </c>
      <c r="I8" s="8">
        <v>1</v>
      </c>
      <c r="J8" s="8">
        <v>5</v>
      </c>
      <c r="K8" s="8">
        <v>6</v>
      </c>
      <c r="L8" s="8">
        <v>10</v>
      </c>
      <c r="M8" s="8">
        <v>11</v>
      </c>
      <c r="N8" s="8">
        <v>12</v>
      </c>
      <c r="O8" s="9">
        <v>14</v>
      </c>
      <c r="P8" s="9">
        <v>15</v>
      </c>
      <c r="Q8" s="9">
        <v>16</v>
      </c>
      <c r="R8" s="8" t="s">
        <v>13</v>
      </c>
    </row>
    <row r="9" spans="1:18" ht="15" customHeight="1">
      <c r="A9" s="110" t="s">
        <v>27</v>
      </c>
      <c r="B9" s="111"/>
      <c r="C9" s="111"/>
      <c r="D9" s="111"/>
      <c r="E9" s="111"/>
      <c r="F9" s="111"/>
      <c r="H9" s="13">
        <v>1</v>
      </c>
      <c r="I9" s="13">
        <f t="shared" ref="I9:Q9" si="0">IF(MOD(I7*I6,100)&gt;50,I7*I6-MOD(I7*I6,100)+100,I7*I6-MOD(I7*I6,100))</f>
        <v>17000</v>
      </c>
      <c r="J9" s="13">
        <f t="shared" si="0"/>
        <v>21000</v>
      </c>
      <c r="K9" s="13">
        <f t="shared" si="0"/>
        <v>22700</v>
      </c>
      <c r="L9" s="13">
        <f t="shared" si="0"/>
        <v>32100</v>
      </c>
      <c r="M9" s="13">
        <f t="shared" si="0"/>
        <v>33400</v>
      </c>
      <c r="N9" s="13">
        <f t="shared" si="0"/>
        <v>35800</v>
      </c>
      <c r="O9" s="13">
        <f t="shared" si="0"/>
        <v>39900</v>
      </c>
      <c r="P9" s="13">
        <f t="shared" si="0"/>
        <v>42600</v>
      </c>
      <c r="Q9" s="13">
        <f t="shared" si="0"/>
        <v>56100</v>
      </c>
      <c r="R9" s="41">
        <v>1</v>
      </c>
    </row>
    <row r="10" spans="1:18" ht="15" customHeight="1">
      <c r="A10" s="23" t="s">
        <v>30</v>
      </c>
      <c r="B10" s="113" t="s">
        <v>28</v>
      </c>
      <c r="C10" s="113"/>
      <c r="D10" s="12">
        <v>0</v>
      </c>
      <c r="E10" s="15" t="s">
        <v>22</v>
      </c>
      <c r="F10" s="16">
        <v>12000</v>
      </c>
      <c r="H10" s="13">
        <v>2</v>
      </c>
      <c r="I10" s="13">
        <f>I9+IF(MOD(I9*0.03,100)&gt;=50,I9*0.03-MOD(I9*0.03,100)+100,I9*0.03-MOD(I9*0.03,100))</f>
        <v>17500</v>
      </c>
      <c r="J10" s="68">
        <f t="shared" ref="J10:Q10" si="1">J9+IF(MOD(J9*0.03,100)&gt;=50,J9*0.03-MOD(J9*0.03,100)+100,J9*0.03-MOD(J9*0.03,100))</f>
        <v>21600</v>
      </c>
      <c r="K10" s="68">
        <f t="shared" si="1"/>
        <v>23400</v>
      </c>
      <c r="L10" s="68">
        <f t="shared" si="1"/>
        <v>33100</v>
      </c>
      <c r="M10" s="68">
        <f t="shared" si="1"/>
        <v>34400</v>
      </c>
      <c r="N10" s="68">
        <f t="shared" si="1"/>
        <v>36900</v>
      </c>
      <c r="O10" s="68">
        <f t="shared" si="1"/>
        <v>41100</v>
      </c>
      <c r="P10" s="68">
        <f t="shared" si="1"/>
        <v>43900</v>
      </c>
      <c r="Q10" s="68">
        <f t="shared" si="1"/>
        <v>57800</v>
      </c>
      <c r="R10" s="41">
        <v>2</v>
      </c>
    </row>
    <row r="11" spans="1:18">
      <c r="A11" s="114" t="s">
        <v>29</v>
      </c>
      <c r="B11" s="35" t="s">
        <v>6</v>
      </c>
      <c r="C11" s="35" t="s">
        <v>7</v>
      </c>
      <c r="D11" s="35" t="s">
        <v>8</v>
      </c>
      <c r="E11" s="35" t="s">
        <v>9</v>
      </c>
      <c r="F11" s="35" t="s">
        <v>10</v>
      </c>
      <c r="H11" s="13">
        <v>3</v>
      </c>
      <c r="I11" s="68">
        <f t="shared" ref="I11:I41" si="2">I10+IF(MOD(I10*0.03,100)&gt;=50,I10*0.03-MOD(I10*0.03,100)+100,I10*0.03-MOD(I10*0.03,100))</f>
        <v>18000</v>
      </c>
      <c r="J11" s="68">
        <f t="shared" ref="J11:J41" si="3">J10+IF(MOD(J10*0.03,100)&gt;=50,J10*0.03-MOD(J10*0.03,100)+100,J10*0.03-MOD(J10*0.03,100))</f>
        <v>22200</v>
      </c>
      <c r="K11" s="68">
        <f t="shared" ref="K11:K41" si="4">K10+IF(MOD(K10*0.03,100)&gt;=50,K10*0.03-MOD(K10*0.03,100)+100,K10*0.03-MOD(K10*0.03,100))</f>
        <v>24100</v>
      </c>
      <c r="L11" s="68">
        <f t="shared" ref="L11:L41" si="5">L10+IF(MOD(L10*0.03,100)&gt;=50,L10*0.03-MOD(L10*0.03,100)+100,L10*0.03-MOD(L10*0.03,100))</f>
        <v>34100</v>
      </c>
      <c r="M11" s="68">
        <f t="shared" ref="M11:M41" si="6">M10+IF(MOD(M10*0.03,100)&gt;=50,M10*0.03-MOD(M10*0.03,100)+100,M10*0.03-MOD(M10*0.03,100))</f>
        <v>35400</v>
      </c>
      <c r="N11" s="68">
        <f t="shared" ref="N11:N41" si="7">N10+IF(MOD(N10*0.03,100)&gt;=50,N10*0.03-MOD(N10*0.03,100)+100,N10*0.03-MOD(N10*0.03,100))</f>
        <v>38000</v>
      </c>
      <c r="O11" s="68">
        <f t="shared" ref="O11:O41" si="8">O10+IF(MOD(O10*0.03,100)&gt;=50,O10*0.03-MOD(O10*0.03,100)+100,O10*0.03-MOD(O10*0.03,100))</f>
        <v>42300</v>
      </c>
      <c r="P11" s="68">
        <f t="shared" ref="P11:P41" si="9">P10+IF(MOD(P10*0.03,100)&gt;=50,P10*0.03-MOD(P10*0.03,100)+100,P10*0.03-MOD(P10*0.03,100))</f>
        <v>45200</v>
      </c>
      <c r="Q11" s="68">
        <f t="shared" ref="Q11:Q41" si="10">Q10+IF(MOD(Q10*0.03,100)&gt;=50,Q10*0.03-MOD(Q10*0.03,100)+100,Q10*0.03-MOD(Q10*0.03,100))</f>
        <v>59500</v>
      </c>
      <c r="R11" s="41">
        <v>3</v>
      </c>
    </row>
    <row r="12" spans="1:18">
      <c r="A12" s="114"/>
      <c r="B12" s="24">
        <v>0</v>
      </c>
      <c r="C12" s="24">
        <v>0</v>
      </c>
      <c r="D12" s="24">
        <v>0</v>
      </c>
      <c r="E12" s="24">
        <v>0</v>
      </c>
      <c r="F12" s="24">
        <v>0</v>
      </c>
      <c r="H12" s="13">
        <v>4</v>
      </c>
      <c r="I12" s="68">
        <f t="shared" si="2"/>
        <v>18500</v>
      </c>
      <c r="J12" s="68">
        <f t="shared" si="3"/>
        <v>22900</v>
      </c>
      <c r="K12" s="68">
        <f t="shared" si="4"/>
        <v>24800</v>
      </c>
      <c r="L12" s="68">
        <f t="shared" si="5"/>
        <v>35100</v>
      </c>
      <c r="M12" s="68">
        <f t="shared" si="6"/>
        <v>36500</v>
      </c>
      <c r="N12" s="68">
        <f t="shared" si="7"/>
        <v>39100</v>
      </c>
      <c r="O12" s="68">
        <f t="shared" si="8"/>
        <v>43600</v>
      </c>
      <c r="P12" s="68">
        <f t="shared" si="9"/>
        <v>46600</v>
      </c>
      <c r="Q12" s="68">
        <f t="shared" si="10"/>
        <v>61300</v>
      </c>
      <c r="R12" s="41">
        <v>4</v>
      </c>
    </row>
    <row r="13" spans="1:18" ht="15" customHeight="1">
      <c r="A13" s="114"/>
      <c r="B13" s="35" t="s">
        <v>31</v>
      </c>
      <c r="C13" s="38" t="s">
        <v>32</v>
      </c>
      <c r="D13" s="38" t="s">
        <v>34</v>
      </c>
      <c r="E13" s="38" t="s">
        <v>35</v>
      </c>
      <c r="F13" s="38" t="s">
        <v>36</v>
      </c>
      <c r="H13" s="13">
        <v>5</v>
      </c>
      <c r="I13" s="68">
        <f t="shared" si="2"/>
        <v>19100</v>
      </c>
      <c r="J13" s="68">
        <f t="shared" si="3"/>
        <v>23600</v>
      </c>
      <c r="K13" s="68">
        <f t="shared" si="4"/>
        <v>25500</v>
      </c>
      <c r="L13" s="68">
        <f t="shared" si="5"/>
        <v>36200</v>
      </c>
      <c r="M13" s="68">
        <f t="shared" si="6"/>
        <v>37600</v>
      </c>
      <c r="N13" s="68">
        <f t="shared" si="7"/>
        <v>40300</v>
      </c>
      <c r="O13" s="68">
        <f t="shared" si="8"/>
        <v>44900</v>
      </c>
      <c r="P13" s="68">
        <f t="shared" si="9"/>
        <v>48000</v>
      </c>
      <c r="Q13" s="68">
        <f t="shared" si="10"/>
        <v>63100</v>
      </c>
      <c r="R13" s="41">
        <v>5</v>
      </c>
    </row>
    <row r="14" spans="1:18">
      <c r="A14" s="114"/>
      <c r="B14" s="24">
        <v>0</v>
      </c>
      <c r="C14" s="25">
        <v>0</v>
      </c>
      <c r="D14" s="25">
        <v>0</v>
      </c>
      <c r="E14" s="25">
        <v>0</v>
      </c>
      <c r="F14" s="25">
        <v>0</v>
      </c>
      <c r="H14" s="13">
        <v>6</v>
      </c>
      <c r="I14" s="68">
        <f t="shared" si="2"/>
        <v>19700</v>
      </c>
      <c r="J14" s="68">
        <f t="shared" si="3"/>
        <v>24300</v>
      </c>
      <c r="K14" s="68">
        <f t="shared" si="4"/>
        <v>26300</v>
      </c>
      <c r="L14" s="68">
        <f t="shared" si="5"/>
        <v>37300</v>
      </c>
      <c r="M14" s="68">
        <f t="shared" si="6"/>
        <v>38700</v>
      </c>
      <c r="N14" s="68">
        <f t="shared" si="7"/>
        <v>41500</v>
      </c>
      <c r="O14" s="68">
        <f t="shared" si="8"/>
        <v>46200</v>
      </c>
      <c r="P14" s="68">
        <f t="shared" si="9"/>
        <v>49400</v>
      </c>
      <c r="Q14" s="68">
        <f t="shared" si="10"/>
        <v>65000</v>
      </c>
      <c r="R14" s="41">
        <v>6</v>
      </c>
    </row>
    <row r="15" spans="1:18">
      <c r="A15" s="117" t="s">
        <v>52</v>
      </c>
      <c r="B15" s="118"/>
      <c r="C15" s="118"/>
      <c r="D15" s="118"/>
      <c r="E15" s="119"/>
      <c r="F15" s="10">
        <v>4</v>
      </c>
      <c r="G15" s="1"/>
      <c r="H15" s="13">
        <v>7</v>
      </c>
      <c r="I15" s="68">
        <f t="shared" si="2"/>
        <v>20300</v>
      </c>
      <c r="J15" s="68">
        <f t="shared" si="3"/>
        <v>25000</v>
      </c>
      <c r="K15" s="68">
        <f t="shared" si="4"/>
        <v>27100</v>
      </c>
      <c r="L15" s="68">
        <f t="shared" si="5"/>
        <v>38400</v>
      </c>
      <c r="M15" s="68">
        <f t="shared" si="6"/>
        <v>39900</v>
      </c>
      <c r="N15" s="68">
        <f t="shared" si="7"/>
        <v>42700</v>
      </c>
      <c r="O15" s="68">
        <f t="shared" si="8"/>
        <v>47600</v>
      </c>
      <c r="P15" s="68">
        <f t="shared" si="9"/>
        <v>50900</v>
      </c>
      <c r="Q15" s="68">
        <f t="shared" si="10"/>
        <v>67000</v>
      </c>
      <c r="R15" s="41">
        <v>7</v>
      </c>
    </row>
    <row r="16" spans="1:18">
      <c r="A16" s="144" t="str">
        <f>IF(F15&gt;=5,"DATE OF 10/20 YEARS INCREMENT:"," ")</f>
        <v xml:space="preserve"> </v>
      </c>
      <c r="B16" s="144"/>
      <c r="C16" s="144"/>
      <c r="D16" s="86"/>
      <c r="E16" s="73" t="s">
        <v>176</v>
      </c>
      <c r="F16" s="71"/>
      <c r="G16" s="6"/>
      <c r="H16" s="13">
        <v>8</v>
      </c>
      <c r="I16" s="68">
        <f t="shared" si="2"/>
        <v>20900</v>
      </c>
      <c r="J16" s="68">
        <f t="shared" si="3"/>
        <v>25800</v>
      </c>
      <c r="K16" s="68">
        <f t="shared" si="4"/>
        <v>27900</v>
      </c>
      <c r="L16" s="68">
        <f t="shared" si="5"/>
        <v>39600</v>
      </c>
      <c r="M16" s="68">
        <f t="shared" si="6"/>
        <v>41100</v>
      </c>
      <c r="N16" s="68">
        <f t="shared" si="7"/>
        <v>44000</v>
      </c>
      <c r="O16" s="68">
        <f t="shared" si="8"/>
        <v>49000</v>
      </c>
      <c r="P16" s="68">
        <f t="shared" si="9"/>
        <v>52400</v>
      </c>
      <c r="Q16" s="68">
        <f t="shared" si="10"/>
        <v>69000</v>
      </c>
      <c r="R16" s="41">
        <v>8</v>
      </c>
    </row>
    <row r="17" spans="1:18">
      <c r="A17" s="103" t="s">
        <v>177</v>
      </c>
      <c r="B17" s="104"/>
      <c r="C17" s="121">
        <v>42370</v>
      </c>
      <c r="D17" s="122"/>
      <c r="E17" s="38" t="s">
        <v>175</v>
      </c>
      <c r="F17" s="85"/>
      <c r="G17" s="6"/>
      <c r="H17" s="13">
        <v>9</v>
      </c>
      <c r="I17" s="68">
        <f t="shared" si="2"/>
        <v>21500</v>
      </c>
      <c r="J17" s="68">
        <f t="shared" si="3"/>
        <v>26600</v>
      </c>
      <c r="K17" s="68">
        <f t="shared" si="4"/>
        <v>28700</v>
      </c>
      <c r="L17" s="68">
        <f t="shared" si="5"/>
        <v>40800</v>
      </c>
      <c r="M17" s="68">
        <f t="shared" si="6"/>
        <v>42300</v>
      </c>
      <c r="N17" s="68">
        <f t="shared" si="7"/>
        <v>45300</v>
      </c>
      <c r="O17" s="68">
        <f t="shared" si="8"/>
        <v>50500</v>
      </c>
      <c r="P17" s="68">
        <f t="shared" si="9"/>
        <v>54000</v>
      </c>
      <c r="Q17" s="68">
        <f t="shared" si="10"/>
        <v>71100</v>
      </c>
      <c r="R17" s="41">
        <v>9</v>
      </c>
    </row>
    <row r="18" spans="1:18" ht="15" customHeight="1">
      <c r="A18" s="102"/>
      <c r="B18" s="102"/>
      <c r="C18" s="102"/>
      <c r="D18" s="102"/>
      <c r="E18" s="102"/>
      <c r="F18" s="102"/>
      <c r="G18" s="6"/>
      <c r="H18" s="13">
        <v>10</v>
      </c>
      <c r="I18" s="68">
        <f t="shared" si="2"/>
        <v>22100</v>
      </c>
      <c r="J18" s="68">
        <f t="shared" si="3"/>
        <v>27400</v>
      </c>
      <c r="K18" s="68">
        <f t="shared" si="4"/>
        <v>29600</v>
      </c>
      <c r="L18" s="68">
        <f t="shared" si="5"/>
        <v>42000</v>
      </c>
      <c r="M18" s="68">
        <f t="shared" si="6"/>
        <v>43600</v>
      </c>
      <c r="N18" s="68">
        <f t="shared" si="7"/>
        <v>46700</v>
      </c>
      <c r="O18" s="68">
        <f t="shared" si="8"/>
        <v>52000</v>
      </c>
      <c r="P18" s="68">
        <f t="shared" si="9"/>
        <v>55600</v>
      </c>
      <c r="Q18" s="68">
        <f t="shared" si="10"/>
        <v>73200</v>
      </c>
      <c r="R18" s="41">
        <v>10</v>
      </c>
    </row>
    <row r="19" spans="1:18" ht="15" customHeight="1">
      <c r="A19" s="112" t="s">
        <v>26</v>
      </c>
      <c r="B19" s="112"/>
      <c r="C19" s="112"/>
      <c r="D19" s="112"/>
      <c r="E19" s="112"/>
      <c r="F19" s="112"/>
      <c r="G19" s="6"/>
      <c r="H19" s="13">
        <v>11</v>
      </c>
      <c r="I19" s="68">
        <f t="shared" si="2"/>
        <v>22800</v>
      </c>
      <c r="J19" s="68">
        <f t="shared" si="3"/>
        <v>28200</v>
      </c>
      <c r="K19" s="68">
        <f t="shared" si="4"/>
        <v>30500</v>
      </c>
      <c r="L19" s="68">
        <f t="shared" si="5"/>
        <v>43300</v>
      </c>
      <c r="M19" s="68">
        <f t="shared" si="6"/>
        <v>44900</v>
      </c>
      <c r="N19" s="68">
        <f t="shared" si="7"/>
        <v>48100</v>
      </c>
      <c r="O19" s="68">
        <f t="shared" si="8"/>
        <v>53600</v>
      </c>
      <c r="P19" s="68">
        <f t="shared" si="9"/>
        <v>57300</v>
      </c>
      <c r="Q19" s="68">
        <f t="shared" si="10"/>
        <v>75400</v>
      </c>
      <c r="R19" s="41">
        <v>11</v>
      </c>
    </row>
    <row r="20" spans="1:18" ht="15" customHeight="1">
      <c r="A20" s="131" t="s">
        <v>55</v>
      </c>
      <c r="B20" s="27" t="s">
        <v>5</v>
      </c>
      <c r="C20" s="36">
        <v>2.57</v>
      </c>
      <c r="D20" s="96" t="s">
        <v>23</v>
      </c>
      <c r="E20" s="97"/>
      <c r="F20" s="100" t="str">
        <f>B6</f>
        <v>0</v>
      </c>
      <c r="G20" s="6"/>
      <c r="H20" s="13">
        <v>12</v>
      </c>
      <c r="I20" s="68">
        <f t="shared" si="2"/>
        <v>23500</v>
      </c>
      <c r="J20" s="68">
        <f t="shared" si="3"/>
        <v>29000</v>
      </c>
      <c r="K20" s="68">
        <f t="shared" si="4"/>
        <v>31400</v>
      </c>
      <c r="L20" s="68">
        <f t="shared" si="5"/>
        <v>44600</v>
      </c>
      <c r="M20" s="68">
        <f t="shared" si="6"/>
        <v>46200</v>
      </c>
      <c r="N20" s="68">
        <f t="shared" si="7"/>
        <v>49500</v>
      </c>
      <c r="O20" s="68">
        <f t="shared" si="8"/>
        <v>55200</v>
      </c>
      <c r="P20" s="68">
        <f t="shared" si="9"/>
        <v>59000</v>
      </c>
      <c r="Q20" s="68">
        <f t="shared" si="10"/>
        <v>77700</v>
      </c>
      <c r="R20" s="41">
        <v>12</v>
      </c>
    </row>
    <row r="21" spans="1:18" ht="15" customHeight="1">
      <c r="A21" s="132"/>
      <c r="B21" s="27" t="s">
        <v>12</v>
      </c>
      <c r="C21" s="34">
        <f>ROUND(F4*C20,0)</f>
        <v>0</v>
      </c>
      <c r="D21" s="98"/>
      <c r="E21" s="99"/>
      <c r="F21" s="101"/>
      <c r="G21" s="6"/>
      <c r="H21" s="13">
        <v>13</v>
      </c>
      <c r="I21" s="68">
        <f t="shared" si="2"/>
        <v>24200</v>
      </c>
      <c r="J21" s="68">
        <f t="shared" si="3"/>
        <v>29900</v>
      </c>
      <c r="K21" s="68">
        <f t="shared" si="4"/>
        <v>32300</v>
      </c>
      <c r="L21" s="68">
        <f t="shared" si="5"/>
        <v>45900</v>
      </c>
      <c r="M21" s="68">
        <f t="shared" si="6"/>
        <v>47600</v>
      </c>
      <c r="N21" s="68">
        <f t="shared" si="7"/>
        <v>51000</v>
      </c>
      <c r="O21" s="68">
        <f t="shared" si="8"/>
        <v>56900</v>
      </c>
      <c r="P21" s="68">
        <f t="shared" si="9"/>
        <v>60800</v>
      </c>
      <c r="Q21" s="68">
        <f t="shared" si="10"/>
        <v>80000</v>
      </c>
      <c r="R21" s="41">
        <v>13</v>
      </c>
    </row>
    <row r="22" spans="1:18" ht="15" customHeight="1">
      <c r="A22" s="132"/>
      <c r="B22" s="27" t="s">
        <v>25</v>
      </c>
      <c r="C22" s="32">
        <f>IF(F20="1",I50,IF(F20="5",J50,IF(F20="6",K50,IF(F20="10",L50,IF(F20="11",M50,IF(F20="12",N50,IF(F20="14",O50,IF(F20="15",P50,IF(F20="16",Q50,0)))))))))</f>
        <v>0</v>
      </c>
      <c r="D22" s="142" t="s">
        <v>92</v>
      </c>
      <c r="E22" s="143"/>
      <c r="F22" s="51" t="str">
        <f>IF(F5=I5,I51,IF(F5=J5,J51,IF(F5=K5,K51,IF(F5=L5,L51,IF(F5=M5,M51,IF(F5=N5,N51,IF(F5=O5,O51,IF(F5=P5,P51,IF(F5=Q5,Q51,"0")))))))))</f>
        <v>0</v>
      </c>
      <c r="G22" s="6"/>
      <c r="H22" s="13">
        <v>14</v>
      </c>
      <c r="I22" s="68">
        <f t="shared" si="2"/>
        <v>24900</v>
      </c>
      <c r="J22" s="68">
        <f t="shared" si="3"/>
        <v>30800</v>
      </c>
      <c r="K22" s="68">
        <f t="shared" si="4"/>
        <v>33300</v>
      </c>
      <c r="L22" s="68">
        <f t="shared" si="5"/>
        <v>47300</v>
      </c>
      <c r="M22" s="68">
        <f t="shared" si="6"/>
        <v>49000</v>
      </c>
      <c r="N22" s="68">
        <f t="shared" si="7"/>
        <v>52500</v>
      </c>
      <c r="O22" s="68">
        <f t="shared" si="8"/>
        <v>58600</v>
      </c>
      <c r="P22" s="68">
        <f t="shared" si="9"/>
        <v>62600</v>
      </c>
      <c r="Q22" s="68">
        <f t="shared" si="10"/>
        <v>82400</v>
      </c>
      <c r="R22" s="41">
        <v>14</v>
      </c>
    </row>
    <row r="23" spans="1:18">
      <c r="A23" s="115"/>
      <c r="B23" s="115"/>
      <c r="C23" s="115"/>
      <c r="D23" s="115"/>
      <c r="E23" s="115"/>
      <c r="F23" s="116"/>
      <c r="H23" s="13">
        <v>15</v>
      </c>
      <c r="I23" s="68">
        <f t="shared" si="2"/>
        <v>25600</v>
      </c>
      <c r="J23" s="68">
        <f t="shared" si="3"/>
        <v>31700</v>
      </c>
      <c r="K23" s="68">
        <f t="shared" si="4"/>
        <v>34300</v>
      </c>
      <c r="L23" s="68">
        <f t="shared" si="5"/>
        <v>48700</v>
      </c>
      <c r="M23" s="68">
        <f t="shared" si="6"/>
        <v>50500</v>
      </c>
      <c r="N23" s="68">
        <f t="shared" si="7"/>
        <v>54100</v>
      </c>
      <c r="O23" s="68">
        <f t="shared" si="8"/>
        <v>60400</v>
      </c>
      <c r="P23" s="68">
        <f t="shared" si="9"/>
        <v>64500</v>
      </c>
      <c r="Q23" s="68">
        <f t="shared" si="10"/>
        <v>84900</v>
      </c>
      <c r="R23" s="41">
        <v>15</v>
      </c>
    </row>
    <row r="24" spans="1:18">
      <c r="A24" s="109" t="s">
        <v>44</v>
      </c>
      <c r="B24" s="109" t="s">
        <v>25</v>
      </c>
      <c r="C24" s="65"/>
      <c r="D24" s="120" t="s">
        <v>37</v>
      </c>
      <c r="E24" s="120"/>
      <c r="F24" s="120"/>
      <c r="H24" s="13">
        <v>16</v>
      </c>
      <c r="I24" s="68">
        <f t="shared" si="2"/>
        <v>26400</v>
      </c>
      <c r="J24" s="68">
        <f t="shared" si="3"/>
        <v>32700</v>
      </c>
      <c r="K24" s="68">
        <f t="shared" si="4"/>
        <v>35300</v>
      </c>
      <c r="L24" s="68">
        <f t="shared" si="5"/>
        <v>50200</v>
      </c>
      <c r="M24" s="68">
        <f t="shared" si="6"/>
        <v>52000</v>
      </c>
      <c r="N24" s="68">
        <f t="shared" si="7"/>
        <v>55700</v>
      </c>
      <c r="O24" s="68">
        <f t="shared" si="8"/>
        <v>62200</v>
      </c>
      <c r="P24" s="68">
        <f t="shared" si="9"/>
        <v>66400</v>
      </c>
      <c r="Q24" s="68">
        <f t="shared" si="10"/>
        <v>87400</v>
      </c>
      <c r="R24" s="41">
        <v>16</v>
      </c>
    </row>
    <row r="25" spans="1:18">
      <c r="A25" s="109"/>
      <c r="B25" s="109"/>
      <c r="C25" s="66"/>
      <c r="D25" s="123" t="s">
        <v>43</v>
      </c>
      <c r="E25" s="26" t="s">
        <v>25</v>
      </c>
      <c r="F25" s="30">
        <f>IF(F15=0,B26,IF(F15=1,B27,IF(F15=2,B28,IF(F15=3,B29,IF(F15=4,B30,IF(F15=5,B31,0))))))</f>
        <v>0</v>
      </c>
      <c r="H25" s="13">
        <v>17</v>
      </c>
      <c r="I25" s="68">
        <f t="shared" si="2"/>
        <v>27200</v>
      </c>
      <c r="J25" s="68">
        <f t="shared" si="3"/>
        <v>33700</v>
      </c>
      <c r="K25" s="68">
        <f t="shared" si="4"/>
        <v>36400</v>
      </c>
      <c r="L25" s="68">
        <f t="shared" si="5"/>
        <v>51700</v>
      </c>
      <c r="M25" s="68">
        <f t="shared" si="6"/>
        <v>53600</v>
      </c>
      <c r="N25" s="68">
        <f t="shared" si="7"/>
        <v>57400</v>
      </c>
      <c r="O25" s="68">
        <f t="shared" si="8"/>
        <v>64100</v>
      </c>
      <c r="P25" s="68">
        <f t="shared" si="9"/>
        <v>68400</v>
      </c>
      <c r="Q25" s="68">
        <f t="shared" si="10"/>
        <v>90000</v>
      </c>
      <c r="R25" s="41">
        <v>17</v>
      </c>
    </row>
    <row r="26" spans="1:18">
      <c r="A26" s="89" t="s">
        <v>169</v>
      </c>
      <c r="B26" s="90">
        <f>C22</f>
        <v>0</v>
      </c>
      <c r="C26" s="87"/>
      <c r="D26" s="124"/>
      <c r="E26" s="27" t="s">
        <v>0</v>
      </c>
      <c r="F26" s="36">
        <f>ROUND(F25*B14,0)</f>
        <v>0</v>
      </c>
      <c r="H26" s="13">
        <v>18</v>
      </c>
      <c r="I26" s="68">
        <f t="shared" si="2"/>
        <v>28000</v>
      </c>
      <c r="J26" s="68">
        <f t="shared" si="3"/>
        <v>34700</v>
      </c>
      <c r="K26" s="68">
        <f t="shared" si="4"/>
        <v>37500</v>
      </c>
      <c r="L26" s="68">
        <f t="shared" si="5"/>
        <v>53300</v>
      </c>
      <c r="M26" s="68">
        <f t="shared" si="6"/>
        <v>55200</v>
      </c>
      <c r="N26" s="68">
        <f t="shared" si="7"/>
        <v>59100</v>
      </c>
      <c r="O26" s="68">
        <f t="shared" si="8"/>
        <v>66000</v>
      </c>
      <c r="P26" s="68">
        <f t="shared" si="9"/>
        <v>70500</v>
      </c>
      <c r="Q26" s="68">
        <f t="shared" si="10"/>
        <v>92700</v>
      </c>
      <c r="R26" s="41">
        <v>18</v>
      </c>
    </row>
    <row r="27" spans="1:18">
      <c r="A27" s="91" t="s">
        <v>170</v>
      </c>
      <c r="B27" s="92">
        <f>B26+IF(MOD(B26*0.03,100)&gt;50,B26*0.03-MOD(B26*0.03,100)+100,B26*0.03-MOD(B26*0.03,100))</f>
        <v>0</v>
      </c>
      <c r="C27" s="87"/>
      <c r="D27" s="124"/>
      <c r="E27" s="27" t="s">
        <v>1</v>
      </c>
      <c r="F27" s="3">
        <f>IF((ROUND(F25*12%,0))&lt;=(F$10-D$10),ROUND(F25*12%,0),F$10-D$10)</f>
        <v>0</v>
      </c>
      <c r="H27" s="13">
        <v>19</v>
      </c>
      <c r="I27" s="68">
        <f t="shared" si="2"/>
        <v>28800</v>
      </c>
      <c r="J27" s="68">
        <f t="shared" si="3"/>
        <v>35700</v>
      </c>
      <c r="K27" s="68">
        <f t="shared" si="4"/>
        <v>38600</v>
      </c>
      <c r="L27" s="68">
        <f t="shared" si="5"/>
        <v>54900</v>
      </c>
      <c r="M27" s="68">
        <f t="shared" si="6"/>
        <v>56900</v>
      </c>
      <c r="N27" s="68">
        <f t="shared" si="7"/>
        <v>60900</v>
      </c>
      <c r="O27" s="68">
        <f t="shared" si="8"/>
        <v>68000</v>
      </c>
      <c r="P27" s="68">
        <f t="shared" si="9"/>
        <v>72600</v>
      </c>
      <c r="Q27" s="68">
        <f t="shared" si="10"/>
        <v>95500</v>
      </c>
      <c r="R27" s="41">
        <v>19</v>
      </c>
    </row>
    <row r="28" spans="1:18">
      <c r="A28" s="91" t="s">
        <v>171</v>
      </c>
      <c r="B28" s="92">
        <f>B27+IF(MOD(B27*0.03,100)&gt;50,B27*0.03-MOD(B27*0.03,100)+100,B27*0.03-MOD(B27*0.03,100))</f>
        <v>0</v>
      </c>
      <c r="C28" s="87"/>
      <c r="D28" s="124"/>
      <c r="E28" s="27" t="s">
        <v>2</v>
      </c>
      <c r="F28" s="36">
        <f>IF(F25&gt;0,500,0)</f>
        <v>0</v>
      </c>
      <c r="H28" s="13">
        <v>20</v>
      </c>
      <c r="I28" s="68">
        <f t="shared" si="2"/>
        <v>29700</v>
      </c>
      <c r="J28" s="68">
        <f t="shared" si="3"/>
        <v>36800</v>
      </c>
      <c r="K28" s="68">
        <f t="shared" si="4"/>
        <v>39800</v>
      </c>
      <c r="L28" s="68">
        <f t="shared" si="5"/>
        <v>56500</v>
      </c>
      <c r="M28" s="68">
        <f t="shared" si="6"/>
        <v>58600</v>
      </c>
      <c r="N28" s="68">
        <f t="shared" si="7"/>
        <v>62700</v>
      </c>
      <c r="O28" s="68">
        <f t="shared" si="8"/>
        <v>70000</v>
      </c>
      <c r="P28" s="68">
        <f t="shared" si="9"/>
        <v>74800</v>
      </c>
      <c r="Q28" s="68">
        <f t="shared" si="10"/>
        <v>98400</v>
      </c>
      <c r="R28" s="41">
        <v>20</v>
      </c>
    </row>
    <row r="29" spans="1:18">
      <c r="A29" s="91" t="s">
        <v>172</v>
      </c>
      <c r="B29" s="92">
        <f>B28+IF(MOD(B28*0.03,100)&gt;50,B28*0.03-MOD(B28*0.03,100)+100,B28*0.03-MOD(B28*0.03,100))</f>
        <v>0</v>
      </c>
      <c r="C29" s="87"/>
      <c r="D29" s="124"/>
      <c r="E29" s="27" t="s">
        <v>38</v>
      </c>
      <c r="F29" s="31">
        <f>F25+F26+F27+F28</f>
        <v>0</v>
      </c>
      <c r="H29" s="13">
        <v>21</v>
      </c>
      <c r="I29" s="68">
        <f t="shared" si="2"/>
        <v>30600</v>
      </c>
      <c r="J29" s="68">
        <f t="shared" si="3"/>
        <v>37900</v>
      </c>
      <c r="K29" s="68">
        <f t="shared" si="4"/>
        <v>41000</v>
      </c>
      <c r="L29" s="68">
        <f t="shared" si="5"/>
        <v>58200</v>
      </c>
      <c r="M29" s="68">
        <f t="shared" si="6"/>
        <v>60400</v>
      </c>
      <c r="N29" s="68">
        <f t="shared" si="7"/>
        <v>64600</v>
      </c>
      <c r="O29" s="68">
        <f t="shared" si="8"/>
        <v>72100</v>
      </c>
      <c r="P29" s="68">
        <f t="shared" si="9"/>
        <v>77000</v>
      </c>
      <c r="Q29" s="68">
        <f t="shared" si="10"/>
        <v>101400</v>
      </c>
      <c r="R29" s="41">
        <v>21</v>
      </c>
    </row>
    <row r="30" spans="1:18">
      <c r="A30" s="89" t="s">
        <v>173</v>
      </c>
      <c r="B30" s="92">
        <f>B29+IF(MOD(B29*0.03,100)&gt;50,B29*0.03-MOD(B29*0.03,100)+100,B29*0.03-MOD(B29*0.03,100))</f>
        <v>0</v>
      </c>
      <c r="C30" s="87"/>
      <c r="D30" s="124"/>
      <c r="E30" s="27" t="s">
        <v>39</v>
      </c>
      <c r="F30" s="28">
        <f>IF(F25&gt;40000,200,IF(F25&gt;25000,150,IF(F25&gt;15000,130,IF(F25&gt;9000,110,0))))</f>
        <v>0</v>
      </c>
      <c r="H30" s="13">
        <v>22</v>
      </c>
      <c r="I30" s="68">
        <f t="shared" si="2"/>
        <v>31500</v>
      </c>
      <c r="J30" s="68">
        <f t="shared" si="3"/>
        <v>39000</v>
      </c>
      <c r="K30" s="68">
        <f t="shared" si="4"/>
        <v>42200</v>
      </c>
      <c r="L30" s="68">
        <f t="shared" si="5"/>
        <v>59900</v>
      </c>
      <c r="M30" s="68">
        <f t="shared" si="6"/>
        <v>62200</v>
      </c>
      <c r="N30" s="68">
        <f t="shared" si="7"/>
        <v>66500</v>
      </c>
      <c r="O30" s="68">
        <f t="shared" si="8"/>
        <v>74300</v>
      </c>
      <c r="P30" s="68">
        <f t="shared" si="9"/>
        <v>79300</v>
      </c>
      <c r="Q30" s="68">
        <f t="shared" si="10"/>
        <v>104400</v>
      </c>
      <c r="R30" s="41">
        <v>22</v>
      </c>
    </row>
    <row r="31" spans="1:18">
      <c r="A31" s="89" t="s">
        <v>33</v>
      </c>
      <c r="B31" s="92">
        <f>B30+IF(MOD(B30*0.03,100)&gt;50,B30*0.03-MOD(B30*0.03,100)+100,B30*0.03-MOD(B30*0.03,100))</f>
        <v>0</v>
      </c>
      <c r="C31" s="88"/>
      <c r="D31" s="124"/>
      <c r="E31" s="27" t="s">
        <v>40</v>
      </c>
      <c r="F31" s="36">
        <f>ROUNDUP(F25*6%,-2)</f>
        <v>0</v>
      </c>
      <c r="H31" s="13">
        <v>23</v>
      </c>
      <c r="I31" s="68">
        <f t="shared" si="2"/>
        <v>32400</v>
      </c>
      <c r="J31" s="68">
        <f t="shared" si="3"/>
        <v>40200</v>
      </c>
      <c r="K31" s="68">
        <f t="shared" si="4"/>
        <v>43500</v>
      </c>
      <c r="L31" s="68">
        <f t="shared" si="5"/>
        <v>61700</v>
      </c>
      <c r="M31" s="68">
        <f t="shared" si="6"/>
        <v>64100</v>
      </c>
      <c r="N31" s="68">
        <f t="shared" si="7"/>
        <v>68500</v>
      </c>
      <c r="O31" s="68">
        <f t="shared" si="8"/>
        <v>76500</v>
      </c>
      <c r="P31" s="68">
        <f t="shared" si="9"/>
        <v>81700</v>
      </c>
      <c r="Q31" s="68">
        <f t="shared" si="10"/>
        <v>107500</v>
      </c>
      <c r="R31" s="41">
        <v>23</v>
      </c>
    </row>
    <row r="32" spans="1:18">
      <c r="A32" s="67"/>
      <c r="B32" s="67"/>
      <c r="C32" s="67"/>
      <c r="D32" s="124"/>
      <c r="E32" s="27" t="s">
        <v>41</v>
      </c>
      <c r="F32" s="36">
        <v>0</v>
      </c>
      <c r="H32" s="13">
        <v>24</v>
      </c>
      <c r="I32" s="68">
        <f t="shared" si="2"/>
        <v>33400</v>
      </c>
      <c r="J32" s="68">
        <f t="shared" si="3"/>
        <v>41400</v>
      </c>
      <c r="K32" s="68">
        <f t="shared" si="4"/>
        <v>44800</v>
      </c>
      <c r="L32" s="68">
        <f t="shared" si="5"/>
        <v>63600</v>
      </c>
      <c r="M32" s="68">
        <f t="shared" si="6"/>
        <v>66000</v>
      </c>
      <c r="N32" s="68">
        <f t="shared" si="7"/>
        <v>70600</v>
      </c>
      <c r="O32" s="68">
        <f t="shared" si="8"/>
        <v>78800</v>
      </c>
      <c r="P32" s="68">
        <f t="shared" si="9"/>
        <v>84200</v>
      </c>
      <c r="Q32" s="68">
        <f t="shared" si="10"/>
        <v>110700</v>
      </c>
      <c r="R32" s="41">
        <v>24</v>
      </c>
    </row>
    <row r="33" spans="1:18">
      <c r="A33" s="67"/>
      <c r="B33" s="67"/>
      <c r="C33" s="67"/>
      <c r="D33" s="124"/>
      <c r="E33" s="27" t="s">
        <v>42</v>
      </c>
      <c r="F33" s="36">
        <v>0</v>
      </c>
      <c r="H33" s="13">
        <v>25</v>
      </c>
      <c r="I33" s="68">
        <f t="shared" si="2"/>
        <v>34400</v>
      </c>
      <c r="J33" s="68">
        <f t="shared" si="3"/>
        <v>42600</v>
      </c>
      <c r="K33" s="68">
        <f t="shared" si="4"/>
        <v>46100</v>
      </c>
      <c r="L33" s="68">
        <f t="shared" si="5"/>
        <v>65500</v>
      </c>
      <c r="M33" s="68">
        <f t="shared" si="6"/>
        <v>68000</v>
      </c>
      <c r="N33" s="68">
        <f t="shared" si="7"/>
        <v>72700</v>
      </c>
      <c r="O33" s="68">
        <f t="shared" si="8"/>
        <v>81200</v>
      </c>
      <c r="P33" s="68">
        <f t="shared" si="9"/>
        <v>86700</v>
      </c>
      <c r="Q33" s="68">
        <f t="shared" si="10"/>
        <v>114000</v>
      </c>
      <c r="R33" s="41">
        <v>25</v>
      </c>
    </row>
    <row r="34" spans="1:18">
      <c r="A34" s="67"/>
      <c r="B34" s="67"/>
      <c r="C34" s="67"/>
      <c r="D34" s="125"/>
      <c r="E34" s="27" t="s">
        <v>11</v>
      </c>
      <c r="F34" s="29">
        <f>F29-F30-F31-F32-F33</f>
        <v>0</v>
      </c>
      <c r="H34" s="13">
        <v>26</v>
      </c>
      <c r="I34" s="68">
        <f t="shared" si="2"/>
        <v>35400</v>
      </c>
      <c r="J34" s="68">
        <f t="shared" si="3"/>
        <v>43900</v>
      </c>
      <c r="K34" s="68">
        <f t="shared" si="4"/>
        <v>47500</v>
      </c>
      <c r="L34" s="68">
        <f t="shared" si="5"/>
        <v>67500</v>
      </c>
      <c r="M34" s="68">
        <f t="shared" si="6"/>
        <v>70000</v>
      </c>
      <c r="N34" s="68">
        <f t="shared" si="7"/>
        <v>74900</v>
      </c>
      <c r="O34" s="68">
        <f t="shared" si="8"/>
        <v>83600</v>
      </c>
      <c r="P34" s="68">
        <f t="shared" si="9"/>
        <v>89300</v>
      </c>
      <c r="Q34" s="68">
        <f t="shared" si="10"/>
        <v>117400</v>
      </c>
      <c r="R34" s="41">
        <v>26</v>
      </c>
    </row>
    <row r="35" spans="1:18">
      <c r="A35" s="11"/>
      <c r="B35" s="11"/>
      <c r="C35" s="11"/>
      <c r="D35" s="11"/>
      <c r="E35" s="11"/>
      <c r="F35" s="11"/>
      <c r="H35" s="13">
        <v>27</v>
      </c>
      <c r="I35" s="68">
        <f t="shared" si="2"/>
        <v>36500</v>
      </c>
      <c r="J35" s="68">
        <f t="shared" si="3"/>
        <v>45200</v>
      </c>
      <c r="K35" s="68">
        <f t="shared" si="4"/>
        <v>48900</v>
      </c>
      <c r="L35" s="68">
        <f t="shared" si="5"/>
        <v>69500</v>
      </c>
      <c r="M35" s="68">
        <f t="shared" si="6"/>
        <v>72100</v>
      </c>
      <c r="N35" s="68">
        <f t="shared" si="7"/>
        <v>77100</v>
      </c>
      <c r="O35" s="68">
        <f t="shared" si="8"/>
        <v>86100</v>
      </c>
      <c r="P35" s="68">
        <f t="shared" si="9"/>
        <v>92000</v>
      </c>
      <c r="Q35" s="68">
        <f t="shared" si="10"/>
        <v>120900</v>
      </c>
      <c r="R35" s="41">
        <v>27</v>
      </c>
    </row>
    <row r="36" spans="1:18">
      <c r="A36" s="126" t="s">
        <v>45</v>
      </c>
      <c r="B36" s="126"/>
      <c r="C36" s="126"/>
      <c r="D36" s="126"/>
      <c r="E36" s="126"/>
      <c r="F36" s="126"/>
      <c r="H36" s="13">
        <v>28</v>
      </c>
      <c r="I36" s="68">
        <f t="shared" si="2"/>
        <v>37600</v>
      </c>
      <c r="J36" s="68">
        <f t="shared" si="3"/>
        <v>46600</v>
      </c>
      <c r="K36" s="68">
        <f t="shared" si="4"/>
        <v>50400</v>
      </c>
      <c r="L36" s="68">
        <f t="shared" si="5"/>
        <v>71600</v>
      </c>
      <c r="M36" s="68">
        <f t="shared" si="6"/>
        <v>74300</v>
      </c>
      <c r="N36" s="68">
        <f t="shared" si="7"/>
        <v>79400</v>
      </c>
      <c r="O36" s="68">
        <f t="shared" si="8"/>
        <v>88700</v>
      </c>
      <c r="P36" s="68">
        <f t="shared" si="9"/>
        <v>94800</v>
      </c>
      <c r="Q36" s="68">
        <f t="shared" si="10"/>
        <v>124500</v>
      </c>
      <c r="R36" s="41">
        <v>28</v>
      </c>
    </row>
    <row r="37" spans="1:18">
      <c r="A37" s="36">
        <v>1700</v>
      </c>
      <c r="B37" s="36">
        <v>2300</v>
      </c>
      <c r="C37" s="36">
        <v>2600</v>
      </c>
      <c r="D37" s="36">
        <v>3900</v>
      </c>
      <c r="E37" s="36">
        <v>4100</v>
      </c>
      <c r="F37" s="36">
        <v>4400</v>
      </c>
      <c r="H37" s="13">
        <v>29</v>
      </c>
      <c r="I37" s="68">
        <f t="shared" si="2"/>
        <v>38700</v>
      </c>
      <c r="J37" s="68">
        <f t="shared" si="3"/>
        <v>48000</v>
      </c>
      <c r="K37" s="68">
        <f t="shared" si="4"/>
        <v>51900</v>
      </c>
      <c r="L37" s="68">
        <f t="shared" si="5"/>
        <v>73700</v>
      </c>
      <c r="M37" s="68">
        <f t="shared" si="6"/>
        <v>76500</v>
      </c>
      <c r="N37" s="68">
        <f t="shared" si="7"/>
        <v>81800</v>
      </c>
      <c r="O37" s="68">
        <f t="shared" si="8"/>
        <v>91400</v>
      </c>
      <c r="P37" s="68">
        <f t="shared" si="9"/>
        <v>97600</v>
      </c>
      <c r="Q37" s="68">
        <f t="shared" si="10"/>
        <v>128200</v>
      </c>
      <c r="R37" s="41">
        <v>29</v>
      </c>
    </row>
    <row r="38" spans="1:18">
      <c r="A38" s="33">
        <v>4700</v>
      </c>
      <c r="B38" s="33">
        <v>4800</v>
      </c>
      <c r="C38" s="33">
        <v>5400</v>
      </c>
      <c r="D38" s="11"/>
      <c r="E38" s="11"/>
      <c r="F38" s="11"/>
      <c r="H38" s="13">
        <v>30</v>
      </c>
      <c r="I38" s="68">
        <f t="shared" si="2"/>
        <v>39900</v>
      </c>
      <c r="J38" s="68">
        <f t="shared" si="3"/>
        <v>49400</v>
      </c>
      <c r="K38" s="68">
        <f t="shared" si="4"/>
        <v>53500</v>
      </c>
      <c r="L38" s="68">
        <f t="shared" si="5"/>
        <v>75900</v>
      </c>
      <c r="M38" s="68">
        <f t="shared" si="6"/>
        <v>78800</v>
      </c>
      <c r="N38" s="68">
        <f t="shared" si="7"/>
        <v>84300</v>
      </c>
      <c r="O38" s="68">
        <f t="shared" si="8"/>
        <v>94100</v>
      </c>
      <c r="P38" s="68">
        <f t="shared" si="9"/>
        <v>100500</v>
      </c>
      <c r="Q38" s="68">
        <f t="shared" si="10"/>
        <v>132000</v>
      </c>
      <c r="R38" s="41">
        <v>30</v>
      </c>
    </row>
    <row r="39" spans="1:18">
      <c r="A39" s="108" t="s">
        <v>46</v>
      </c>
      <c r="B39" s="108"/>
      <c r="C39" s="108"/>
      <c r="D39" s="108"/>
      <c r="E39" s="108"/>
      <c r="F39" s="108"/>
      <c r="H39" s="13">
        <v>31</v>
      </c>
      <c r="I39" s="68">
        <f t="shared" si="2"/>
        <v>41100</v>
      </c>
      <c r="J39" s="68">
        <f t="shared" si="3"/>
        <v>50900</v>
      </c>
      <c r="K39" s="68">
        <f t="shared" si="4"/>
        <v>55100</v>
      </c>
      <c r="L39" s="68">
        <f t="shared" si="5"/>
        <v>78200</v>
      </c>
      <c r="M39" s="68">
        <f t="shared" si="6"/>
        <v>81200</v>
      </c>
      <c r="N39" s="68">
        <f t="shared" si="7"/>
        <v>86800</v>
      </c>
      <c r="O39" s="68">
        <f t="shared" si="8"/>
        <v>96900</v>
      </c>
      <c r="P39" s="68">
        <f t="shared" si="9"/>
        <v>103500</v>
      </c>
      <c r="Q39" s="68">
        <f t="shared" si="10"/>
        <v>136000</v>
      </c>
      <c r="R39" s="41">
        <v>31</v>
      </c>
    </row>
    <row r="40" spans="1:18">
      <c r="A40" s="11"/>
      <c r="B40" s="11"/>
      <c r="C40" s="11"/>
      <c r="D40" s="11"/>
      <c r="E40" s="11"/>
      <c r="F40" s="11"/>
      <c r="H40" s="13">
        <v>32</v>
      </c>
      <c r="I40" s="68">
        <f t="shared" si="2"/>
        <v>42300</v>
      </c>
      <c r="J40" s="68">
        <f t="shared" si="3"/>
        <v>52400</v>
      </c>
      <c r="K40" s="68">
        <f t="shared" si="4"/>
        <v>56800</v>
      </c>
      <c r="L40" s="68">
        <f t="shared" si="5"/>
        <v>80500</v>
      </c>
      <c r="M40" s="68">
        <f t="shared" si="6"/>
        <v>83600</v>
      </c>
      <c r="N40" s="68">
        <f t="shared" si="7"/>
        <v>89400</v>
      </c>
      <c r="O40" s="68">
        <f t="shared" si="8"/>
        <v>99800</v>
      </c>
      <c r="P40" s="68">
        <f t="shared" si="9"/>
        <v>106600</v>
      </c>
      <c r="Q40" s="68">
        <f t="shared" si="10"/>
        <v>140100</v>
      </c>
      <c r="R40" s="41">
        <v>32</v>
      </c>
    </row>
    <row r="41" spans="1:18">
      <c r="A41" s="11"/>
      <c r="B41" s="11"/>
      <c r="C41" s="11"/>
      <c r="D41" s="11"/>
      <c r="E41" s="11"/>
      <c r="F41" s="11"/>
      <c r="H41" s="13">
        <v>33</v>
      </c>
      <c r="I41" s="68">
        <f t="shared" si="2"/>
        <v>43600</v>
      </c>
      <c r="J41" s="68">
        <f t="shared" si="3"/>
        <v>54000</v>
      </c>
      <c r="K41" s="68">
        <f t="shared" si="4"/>
        <v>58500</v>
      </c>
      <c r="L41" s="68">
        <f t="shared" si="5"/>
        <v>82900</v>
      </c>
      <c r="M41" s="68">
        <f t="shared" si="6"/>
        <v>86100</v>
      </c>
      <c r="N41" s="68">
        <f t="shared" si="7"/>
        <v>92100</v>
      </c>
      <c r="O41" s="68">
        <f t="shared" si="8"/>
        <v>102800</v>
      </c>
      <c r="P41" s="68">
        <f t="shared" si="9"/>
        <v>109800</v>
      </c>
      <c r="Q41" s="68">
        <f t="shared" si="10"/>
        <v>144300</v>
      </c>
      <c r="R41" s="41">
        <v>33</v>
      </c>
    </row>
    <row r="42" spans="1:18">
      <c r="A42" s="11"/>
      <c r="B42" s="11"/>
      <c r="C42" s="11"/>
      <c r="D42" s="11"/>
      <c r="E42" s="42" t="s">
        <v>56</v>
      </c>
      <c r="F42" s="39" t="s">
        <v>54</v>
      </c>
      <c r="H42" s="48"/>
      <c r="I42" s="48"/>
      <c r="J42" s="48"/>
      <c r="K42" s="48"/>
      <c r="L42" s="48"/>
      <c r="M42" s="48"/>
      <c r="N42" s="48"/>
      <c r="O42" s="48"/>
      <c r="P42" s="48"/>
      <c r="Q42" s="48"/>
    </row>
    <row r="43" spans="1:18">
      <c r="A43" s="105" t="s">
        <v>53</v>
      </c>
      <c r="B43" s="106"/>
      <c r="C43" s="106"/>
      <c r="D43" s="106"/>
      <c r="E43" s="106"/>
      <c r="F43" s="106"/>
    </row>
    <row r="45" spans="1:18" hidden="1"/>
    <row r="46" spans="1:18" hidden="1"/>
    <row r="47" spans="1:18" hidden="1"/>
    <row r="48" spans="1:18" hidden="1"/>
    <row r="49" spans="1:17" hidden="1">
      <c r="A49" t="s">
        <v>168</v>
      </c>
      <c r="B49" s="2">
        <f>IF(F15=5,1,0)</f>
        <v>0</v>
      </c>
    </row>
    <row r="50" spans="1:17" hidden="1">
      <c r="A50" s="2" t="str">
        <f>IF(F15&gt;=4,A27,IF(F15=3,A28,IF(F15=2,A29,IF(F15=1,A30,0))))</f>
        <v>01.07.2016</v>
      </c>
      <c r="B50" s="2" t="str">
        <f>IF(F15&gt;=1,"ANNUAL INCREMENT"," ")</f>
        <v>ANNUAL INCREMENT</v>
      </c>
      <c r="E50" s="2">
        <f>IF($F$15=4,2016,IF($F$15=3,2017,IF($F$15=2,2018,IF($F$15=1,2019," "))))</f>
        <v>2016</v>
      </c>
      <c r="H50" s="49" t="s">
        <v>24</v>
      </c>
      <c r="I50" s="49">
        <f t="array" ref="I50">MIN(IF(I9:I41&gt;=C$21,I9:I41))</f>
        <v>17000</v>
      </c>
      <c r="J50" s="49">
        <f t="array" ref="J50">MIN(IF(J9:J41&gt;=C$21,J9:J41))</f>
        <v>21000</v>
      </c>
      <c r="K50" s="49">
        <f t="array" ref="K50">MIN(IF(K9:K41&gt;=C$21,K9:K41))</f>
        <v>22700</v>
      </c>
      <c r="L50" s="49">
        <f t="array" ref="L50">MIN(IF(L9:L41&gt;=C$21,L9:L41))</f>
        <v>32100</v>
      </c>
      <c r="M50" s="49">
        <f t="array" ref="M50">MIN(IF(M9:M41&gt;=C$21,M9:M41))</f>
        <v>33400</v>
      </c>
      <c r="N50" s="49">
        <f t="array" ref="N50">MIN(IF(N9:N41&gt;=C$21,N9:N41))</f>
        <v>35800</v>
      </c>
      <c r="O50" s="49">
        <f t="array" ref="O50">MIN(IF(O9:O41&gt;=C$21,O9:O41))</f>
        <v>39900</v>
      </c>
      <c r="P50" s="49">
        <f t="array" ref="P50">MIN(IF(P9:P41&gt;=C$21,P9:P41))</f>
        <v>42600</v>
      </c>
      <c r="Q50" s="49">
        <f t="array" ref="Q50">MIN(IF(Q9:Q41&gt;=C$21,Q9:Q41))</f>
        <v>56100</v>
      </c>
    </row>
    <row r="51" spans="1:17" hidden="1">
      <c r="A51" s="2" t="str">
        <f>IF(A50=A27,A28,IF(A50=A28,A29,IF(A50=A29,A30," ")))</f>
        <v>01.07.2017</v>
      </c>
      <c r="B51" s="2" t="str">
        <f>IF(F15&gt;=2,"ANNUAL INCREMENT"," ")</f>
        <v>ANNUAL INCREMENT</v>
      </c>
      <c r="E51" s="2">
        <f>IF($F$15=4,2017,IF($F$15=3,2018,IF($F$15=2,2019," ")))</f>
        <v>2017</v>
      </c>
      <c r="H51" s="48"/>
      <c r="I51" s="50">
        <f>VLOOKUP(I50,I9:R41,10)</f>
        <v>1</v>
      </c>
      <c r="J51" s="50">
        <f>VLOOKUP(J50,J9:R41,9)</f>
        <v>1</v>
      </c>
      <c r="K51" s="50">
        <f>VLOOKUP(K50,K9:R41,8)</f>
        <v>1</v>
      </c>
      <c r="L51" s="50">
        <f>VLOOKUP(L50,L9:R41,7)</f>
        <v>1</v>
      </c>
      <c r="M51" s="50">
        <f>VLOOKUP(M50,M9:R41,6)</f>
        <v>1</v>
      </c>
      <c r="N51" s="50">
        <f>VLOOKUP(N50,N9:R41,5)</f>
        <v>1</v>
      </c>
      <c r="O51" s="50">
        <f>VLOOKUP(O50,O9:R41,4)</f>
        <v>1</v>
      </c>
      <c r="P51" s="50">
        <f>VLOOKUP(P50,P9:R41,3)</f>
        <v>1</v>
      </c>
      <c r="Q51" s="50">
        <f>VLOOKUP(Q50,Q9:R41,2)</f>
        <v>1</v>
      </c>
    </row>
    <row r="52" spans="1:17" hidden="1">
      <c r="A52" s="2" t="str">
        <f>IF(A51=A28,A29,IF(A51=A29,A30," "))</f>
        <v>01.07.2018</v>
      </c>
      <c r="B52" s="2" t="str">
        <f>IF(F15&gt;=3,"ANNUAL INCREMENT"," ")</f>
        <v>ANNUAL INCREMENT</v>
      </c>
      <c r="E52" s="2">
        <f>IF($F$15=4,2018,IF($F$15=3,2019," "))</f>
        <v>2018</v>
      </c>
      <c r="H52" s="48"/>
      <c r="I52" s="48"/>
      <c r="J52" s="48"/>
      <c r="K52" s="48"/>
      <c r="L52" s="48"/>
      <c r="M52" s="48"/>
      <c r="N52" s="48"/>
      <c r="O52" s="48"/>
      <c r="P52" s="48"/>
      <c r="Q52" s="48"/>
    </row>
    <row r="53" spans="1:17" hidden="1">
      <c r="A53" s="2" t="str">
        <f>IF(A52=A29,A30," ")</f>
        <v>01.07.2019</v>
      </c>
      <c r="B53" s="2" t="str">
        <f>IF(F15&gt;=4,"ANNUAL INCREMENT"," ")</f>
        <v>ANNUAL INCREMENT</v>
      </c>
      <c r="E53" s="2">
        <f>IF($F$15=4,2019," ")</f>
        <v>2019</v>
      </c>
      <c r="H53" s="48"/>
      <c r="I53" s="48"/>
      <c r="J53" s="48"/>
      <c r="K53" s="48"/>
      <c r="L53" s="48"/>
      <c r="M53" s="48"/>
      <c r="N53" s="48"/>
      <c r="O53" s="48"/>
      <c r="P53" s="48"/>
      <c r="Q53" s="48"/>
    </row>
    <row r="54" spans="1:17" hidden="1">
      <c r="A54" s="2" t="str">
        <f>IF(B49=0," ",1)</f>
        <v xml:space="preserve"> </v>
      </c>
      <c r="B54" s="2" t="str">
        <f>IF(B49=0," ",1)</f>
        <v xml:space="preserve"> </v>
      </c>
    </row>
    <row r="55" spans="1:17" hidden="1"/>
    <row r="56" spans="1:17" hidden="1">
      <c r="A56" s="2">
        <f>F16</f>
        <v>0</v>
      </c>
    </row>
    <row r="57" spans="1:17" hidden="1">
      <c r="A57" s="2" t="str">
        <f>A50</f>
        <v>01.07.2016</v>
      </c>
      <c r="B57" s="2" t="str">
        <f>B50</f>
        <v>ANNUAL INCREMENT</v>
      </c>
      <c r="D57" s="2" t="str">
        <f>RIGHT(A57,4)</f>
        <v>2016</v>
      </c>
      <c r="E57" s="2">
        <f>VALUE(D57)</f>
        <v>2016</v>
      </c>
    </row>
    <row r="58" spans="1:17" hidden="1">
      <c r="A58" s="2" t="str">
        <f>IF($B$49=0,A51,IF($B$49=1,IF($F$16=E58,$D$16,A51)))</f>
        <v>01.07.2017</v>
      </c>
      <c r="B58" s="2" t="str">
        <f>IF(A51=A58,"ANNUAL INCREMENT","10/20 Years Increment")</f>
        <v>ANNUAL INCREMENT</v>
      </c>
      <c r="D58" s="2" t="str">
        <f>RIGHT(A50,4)</f>
        <v>2016</v>
      </c>
      <c r="E58" s="2">
        <f t="shared" ref="E58:E61" si="11">VALUE(D58)</f>
        <v>2016</v>
      </c>
    </row>
    <row r="59" spans="1:17" hidden="1">
      <c r="A59" s="2" t="str">
        <f>IF($A$56=E58,A51,IF($B$49=0,A52,IF($B$49=1,IF($F$16=E59,$D$16,A52))))</f>
        <v>01.07.2018</v>
      </c>
      <c r="B59" s="2" t="str">
        <f>IF(A51&lt;&gt;A58,"ANNUAL INCREMENT",IF(A52=A59,"ANNUAL INCREMENT","10/20 Years Increment"))</f>
        <v>ANNUAL INCREMENT</v>
      </c>
      <c r="D59" s="2" t="str">
        <f t="shared" ref="D59:D61" si="12">RIGHT(A51,4)</f>
        <v>2017</v>
      </c>
      <c r="E59" s="2">
        <f t="shared" si="11"/>
        <v>2017</v>
      </c>
    </row>
    <row r="60" spans="1:17" hidden="1">
      <c r="A60" s="2" t="str">
        <f>IF(A51=A59,A52,IF($A$56=E59,A52,IF($B$49=0,A53,IF($B$49=1,IF($F$16=E60,$D$16,A53)))))</f>
        <v>01.07.2019</v>
      </c>
      <c r="B60" s="2" t="str">
        <f t="shared" ref="B60:B61" si="13">IF(A52&lt;&gt;A59,"ANNUAL INCREMENT",IF(A53=A60,"ANNUAL INCREMENT","10/20 Years Increment"))</f>
        <v>ANNUAL INCREMENT</v>
      </c>
      <c r="D60" s="2" t="str">
        <f t="shared" si="12"/>
        <v>2018</v>
      </c>
      <c r="E60" s="2">
        <f t="shared" si="11"/>
        <v>2018</v>
      </c>
    </row>
    <row r="61" spans="1:17" hidden="1">
      <c r="A61" s="2" t="str">
        <f>IF(A52=A60,A53,IF($A$56=E60,A53,IF($B$49=0,A54,IF($B$49=1,IF($F$16=E61,$D$16,A54)))))</f>
        <v xml:space="preserve"> </v>
      </c>
      <c r="B61" s="2" t="str">
        <f t="shared" si="13"/>
        <v>ANNUAL INCREMENT</v>
      </c>
      <c r="D61" s="2" t="str">
        <f t="shared" si="12"/>
        <v>2019</v>
      </c>
      <c r="E61" s="2">
        <f t="shared" si="11"/>
        <v>2019</v>
      </c>
    </row>
    <row r="62" spans="1:17" hidden="1"/>
    <row r="63" spans="1:17" hidden="1"/>
  </sheetData>
  <sheetProtection password="D893" sheet="1" objects="1" scenarios="1"/>
  <mergeCells count="34">
    <mergeCell ref="H3:Q3"/>
    <mergeCell ref="J4:K4"/>
    <mergeCell ref="L4:M4"/>
    <mergeCell ref="N4:P4"/>
    <mergeCell ref="A20:A22"/>
    <mergeCell ref="A5:E5"/>
    <mergeCell ref="A4:E4"/>
    <mergeCell ref="C7:E7"/>
    <mergeCell ref="C6:E6"/>
    <mergeCell ref="A7:B7"/>
    <mergeCell ref="A8:F8"/>
    <mergeCell ref="D22:E22"/>
    <mergeCell ref="A16:C16"/>
    <mergeCell ref="A2:F2"/>
    <mergeCell ref="A1:F1"/>
    <mergeCell ref="A39:F39"/>
    <mergeCell ref="A24:A25"/>
    <mergeCell ref="A3:F3"/>
    <mergeCell ref="A19:F19"/>
    <mergeCell ref="A9:F9"/>
    <mergeCell ref="B10:C10"/>
    <mergeCell ref="A11:A14"/>
    <mergeCell ref="A23:F23"/>
    <mergeCell ref="A15:E15"/>
    <mergeCell ref="B24:B25"/>
    <mergeCell ref="D24:F24"/>
    <mergeCell ref="C17:D17"/>
    <mergeCell ref="D25:D34"/>
    <mergeCell ref="A36:F36"/>
    <mergeCell ref="D20:E21"/>
    <mergeCell ref="F20:F21"/>
    <mergeCell ref="A18:F18"/>
    <mergeCell ref="A17:B17"/>
    <mergeCell ref="A43:F43"/>
  </mergeCells>
  <hyperlinks>
    <hyperlink ref="A43" r:id="rId1"/>
    <hyperlink ref="E42" r:id="rId2"/>
  </hyperlinks>
  <printOptions horizontalCentered="1"/>
  <pageMargins left="0.7" right="0.7" top="0.75" bottom="0.75" header="0.3" footer="0.3"/>
  <pageSetup paperSize="9" orientation="portrait"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:R31"/>
  <sheetViews>
    <sheetView workbookViewId="0">
      <selection activeCell="H5" sqref="H5:L5"/>
    </sheetView>
  </sheetViews>
  <sheetFormatPr defaultRowHeight="15"/>
  <cols>
    <col min="7" max="7" width="2.5703125" customWidth="1"/>
    <col min="8" max="8" width="7" customWidth="1"/>
    <col min="9" max="9" width="6.85546875" customWidth="1"/>
    <col min="10" max="10" width="8.140625" customWidth="1"/>
    <col min="11" max="11" width="3" customWidth="1"/>
    <col min="12" max="12" width="14.28515625" customWidth="1"/>
    <col min="13" max="13" width="35.42578125" customWidth="1"/>
    <col min="15" max="15" width="9.140625" hidden="1" customWidth="1"/>
    <col min="16" max="16" width="30.7109375" hidden="1" customWidth="1"/>
    <col min="17" max="17" width="19.28515625" hidden="1" customWidth="1"/>
  </cols>
  <sheetData>
    <row r="1" spans="1:18" ht="18.75">
      <c r="A1" s="153" t="s">
        <v>57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</row>
    <row r="2" spans="1:18">
      <c r="A2" s="154" t="s">
        <v>58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</row>
    <row r="3" spans="1:18" ht="45" customHeight="1">
      <c r="A3" s="155" t="s">
        <v>59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</row>
    <row r="4" spans="1:18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O4">
        <f>CALCULATOR!F5</f>
        <v>0</v>
      </c>
      <c r="P4" t="s">
        <v>91</v>
      </c>
      <c r="Q4" t="str">
        <f>IF(O4=O5,Q5,IF(O4=O6,Q6,IF(O4=O7,Q7,IF(O4=O8,Q8,IF(O4=O9,Q9,IF(O4=O10,Q10,IF(O4=O11,Q11,IF(O4=O12,Q12,IF(O4=O13,Q13,IF(O4=O14,Q14,IF(O4=O15,Q15,IF(O4=O23,Q23,IF(O4=O24,Q24,IF(O4=O25,Q25,IF(O4=O26,Q26,"DATA NOT ENTERED")))))))))))))))</f>
        <v>DATA NOT ENTERED</v>
      </c>
    </row>
    <row r="5" spans="1:18" ht="32.25" customHeight="1">
      <c r="A5" s="145" t="s">
        <v>60</v>
      </c>
      <c r="B5" s="145"/>
      <c r="C5" s="145"/>
      <c r="D5" s="145"/>
      <c r="E5" s="145"/>
      <c r="F5" s="145"/>
      <c r="G5" s="52" t="s">
        <v>61</v>
      </c>
      <c r="H5" s="157" t="s">
        <v>120</v>
      </c>
      <c r="I5" s="157"/>
      <c r="J5" s="157"/>
      <c r="K5" s="157"/>
      <c r="L5" s="157"/>
      <c r="M5" s="59" t="s">
        <v>93</v>
      </c>
      <c r="O5" s="47">
        <v>1700</v>
      </c>
      <c r="P5" s="46" t="s">
        <v>77</v>
      </c>
      <c r="Q5" s="46" t="s">
        <v>162</v>
      </c>
      <c r="R5" s="46"/>
    </row>
    <row r="6" spans="1:18" ht="32.25" customHeight="1">
      <c r="A6" s="145" t="s">
        <v>62</v>
      </c>
      <c r="B6" s="145"/>
      <c r="C6" s="145"/>
      <c r="D6" s="145"/>
      <c r="E6" s="145"/>
      <c r="F6" s="145"/>
      <c r="G6" s="52" t="s">
        <v>61</v>
      </c>
      <c r="H6" s="157" t="s">
        <v>119</v>
      </c>
      <c r="I6" s="157"/>
      <c r="J6" s="157"/>
      <c r="K6" s="157"/>
      <c r="L6" s="157"/>
      <c r="M6" s="59" t="s">
        <v>94</v>
      </c>
      <c r="O6" s="47">
        <v>1800</v>
      </c>
      <c r="P6" s="46" t="s">
        <v>78</v>
      </c>
      <c r="Q6" s="46" t="s">
        <v>162</v>
      </c>
    </row>
    <row r="7" spans="1:18" ht="32.25" customHeight="1">
      <c r="A7" s="145" t="s">
        <v>63</v>
      </c>
      <c r="B7" s="145"/>
      <c r="C7" s="145"/>
      <c r="D7" s="145"/>
      <c r="E7" s="145"/>
      <c r="F7" s="145"/>
      <c r="G7" s="52" t="s">
        <v>61</v>
      </c>
      <c r="H7" s="146" t="s">
        <v>64</v>
      </c>
      <c r="I7" s="146"/>
      <c r="J7" s="146"/>
      <c r="K7" s="146"/>
      <c r="L7" s="146"/>
      <c r="O7" s="47">
        <v>1900</v>
      </c>
      <c r="P7" s="46" t="s">
        <v>90</v>
      </c>
      <c r="Q7" s="46" t="s">
        <v>163</v>
      </c>
    </row>
    <row r="8" spans="1:18" ht="32.25" customHeight="1">
      <c r="A8" s="145" t="s">
        <v>65</v>
      </c>
      <c r="B8" s="145"/>
      <c r="C8" s="145"/>
      <c r="D8" s="145"/>
      <c r="E8" s="145"/>
      <c r="F8" s="145"/>
      <c r="G8" s="39"/>
      <c r="H8" s="160"/>
      <c r="I8" s="160"/>
      <c r="J8" s="160"/>
      <c r="K8" s="160"/>
      <c r="L8" s="160"/>
      <c r="O8" s="47">
        <v>2100</v>
      </c>
      <c r="P8" s="46" t="s">
        <v>89</v>
      </c>
      <c r="Q8" s="46" t="s">
        <v>163</v>
      </c>
    </row>
    <row r="9" spans="1:18" ht="32.25" customHeight="1">
      <c r="A9" s="161" t="s">
        <v>66</v>
      </c>
      <c r="B9" s="161"/>
      <c r="C9" s="161"/>
      <c r="D9" s="161"/>
      <c r="E9" s="161"/>
      <c r="F9" s="161"/>
      <c r="G9" s="52" t="s">
        <v>61</v>
      </c>
      <c r="H9" s="162" t="str">
        <f>IF(O4=O5,P5,IF(O4=O6,P6,IF(O4=O7,P7,IF(O4=O8,P8,IF(O4=O9,P9,IF(O4=O10,P10,IF(O4=O11,P11,IF(O4=O12,P12,IF(O4=O13,P13,IF(O4=O14,P14,IF(O4=O15,P15,IF(O4=O23,P23,IF(O4=O24,P24,IF(O4=O25,P25,IF(O4=O26,P26,"DATA NOT ENTERED")))))))))))))))</f>
        <v>DATA NOT ENTERED</v>
      </c>
      <c r="I9" s="162"/>
      <c r="J9" s="162"/>
      <c r="K9" s="162"/>
      <c r="L9" s="162"/>
      <c r="O9" s="47">
        <v>2300</v>
      </c>
      <c r="P9" s="46" t="s">
        <v>88</v>
      </c>
      <c r="Q9" s="46" t="s">
        <v>163</v>
      </c>
    </row>
    <row r="10" spans="1:18" ht="32.25" customHeight="1">
      <c r="A10" s="161" t="s">
        <v>68</v>
      </c>
      <c r="B10" s="161"/>
      <c r="C10" s="161"/>
      <c r="D10" s="161"/>
      <c r="E10" s="161"/>
      <c r="F10" s="161"/>
      <c r="G10" s="52" t="s">
        <v>61</v>
      </c>
      <c r="H10" s="162" t="s">
        <v>69</v>
      </c>
      <c r="I10" s="162"/>
      <c r="J10" s="162"/>
      <c r="K10" s="162"/>
      <c r="L10" s="162"/>
      <c r="O10" s="47">
        <v>2600</v>
      </c>
      <c r="P10" s="46" t="s">
        <v>87</v>
      </c>
      <c r="Q10" s="46" t="s">
        <v>163</v>
      </c>
    </row>
    <row r="11" spans="1:18" ht="32.25" customHeight="1">
      <c r="A11" s="152" t="s">
        <v>70</v>
      </c>
      <c r="B11" s="152"/>
      <c r="C11" s="152"/>
      <c r="D11" s="152"/>
      <c r="E11" s="152"/>
      <c r="F11" s="152"/>
      <c r="G11" s="52" t="s">
        <v>61</v>
      </c>
      <c r="H11" s="146">
        <f>CALCULATOR!F4</f>
        <v>0</v>
      </c>
      <c r="I11" s="146"/>
      <c r="J11" s="146"/>
      <c r="K11" s="146"/>
      <c r="L11" s="146"/>
      <c r="O11" s="47">
        <v>2900</v>
      </c>
      <c r="P11" s="46" t="s">
        <v>86</v>
      </c>
      <c r="Q11" s="46" t="s">
        <v>163</v>
      </c>
    </row>
    <row r="12" spans="1:18" ht="32.25" customHeight="1">
      <c r="A12" s="152" t="s">
        <v>71</v>
      </c>
      <c r="B12" s="152"/>
      <c r="C12" s="152"/>
      <c r="D12" s="152"/>
      <c r="E12" s="152"/>
      <c r="F12" s="152"/>
      <c r="G12" s="52" t="s">
        <v>61</v>
      </c>
      <c r="H12" s="146">
        <f>CALCULATOR!C21</f>
        <v>0</v>
      </c>
      <c r="I12" s="146"/>
      <c r="J12" s="146"/>
      <c r="K12" s="146"/>
      <c r="L12" s="146"/>
      <c r="O12" s="47">
        <v>3200</v>
      </c>
      <c r="P12" s="46" t="s">
        <v>85</v>
      </c>
      <c r="Q12" s="46" t="s">
        <v>164</v>
      </c>
    </row>
    <row r="13" spans="1:18" ht="32.25" customHeight="1">
      <c r="A13" s="152" t="s">
        <v>72</v>
      </c>
      <c r="B13" s="152"/>
      <c r="C13" s="152"/>
      <c r="D13" s="152"/>
      <c r="E13" s="152"/>
      <c r="F13" s="152"/>
      <c r="G13" s="52" t="s">
        <v>61</v>
      </c>
      <c r="H13" s="62" t="s">
        <v>123</v>
      </c>
      <c r="I13" s="61" t="str">
        <f>CALCULATOR!F20</f>
        <v>0</v>
      </c>
      <c r="J13" s="61"/>
      <c r="K13" s="61"/>
      <c r="L13" s="61"/>
      <c r="O13" s="47">
        <v>3600</v>
      </c>
      <c r="P13" s="46" t="s">
        <v>84</v>
      </c>
      <c r="Q13" s="46" t="s">
        <v>164</v>
      </c>
    </row>
    <row r="14" spans="1:18" ht="32.25" customHeight="1">
      <c r="A14" s="152" t="s">
        <v>73</v>
      </c>
      <c r="B14" s="152"/>
      <c r="C14" s="152"/>
      <c r="D14" s="152"/>
      <c r="E14" s="152"/>
      <c r="F14" s="152"/>
      <c r="G14" s="52" t="s">
        <v>61</v>
      </c>
      <c r="H14" s="64" t="s">
        <v>129</v>
      </c>
      <c r="I14" s="63">
        <f>CALCULATOR!C22</f>
        <v>0</v>
      </c>
      <c r="J14" s="64" t="s">
        <v>121</v>
      </c>
      <c r="K14" s="63" t="str">
        <f>I13</f>
        <v>0</v>
      </c>
      <c r="L14" s="61" t="s">
        <v>122</v>
      </c>
      <c r="O14" s="47">
        <v>3900</v>
      </c>
      <c r="P14" s="46" t="s">
        <v>83</v>
      </c>
      <c r="Q14" s="46" t="s">
        <v>164</v>
      </c>
    </row>
    <row r="15" spans="1:18" ht="32.25" customHeight="1">
      <c r="A15" s="145" t="s">
        <v>74</v>
      </c>
      <c r="B15" s="145"/>
      <c r="C15" s="145"/>
      <c r="D15" s="145"/>
      <c r="E15" s="145"/>
      <c r="F15" s="145"/>
      <c r="G15" s="52" t="s">
        <v>61</v>
      </c>
      <c r="H15" s="146">
        <f>I14</f>
        <v>0</v>
      </c>
      <c r="I15" s="146"/>
      <c r="J15" s="146"/>
      <c r="K15" s="146"/>
      <c r="L15" s="146"/>
      <c r="O15" s="47">
        <v>4100</v>
      </c>
      <c r="P15" s="46" t="s">
        <v>82</v>
      </c>
      <c r="Q15" s="46" t="s">
        <v>164</v>
      </c>
    </row>
    <row r="16" spans="1:18" ht="32.25" customHeight="1">
      <c r="A16" s="145" t="s">
        <v>124</v>
      </c>
      <c r="B16" s="145"/>
      <c r="C16" s="145"/>
      <c r="D16" s="145"/>
      <c r="E16" s="145"/>
      <c r="F16" s="145"/>
      <c r="G16" s="84">
        <f>CALCULATOR!F15</f>
        <v>4</v>
      </c>
      <c r="H16" s="93">
        <f>CALCULATOR!B49</f>
        <v>0</v>
      </c>
      <c r="I16" s="45"/>
      <c r="J16" s="45"/>
      <c r="K16" s="45"/>
      <c r="L16" s="45"/>
      <c r="O16" s="47"/>
      <c r="P16" s="46"/>
    </row>
    <row r="17" spans="1:17" ht="16.5" customHeight="1">
      <c r="A17" s="158" t="s">
        <v>127</v>
      </c>
      <c r="B17" s="158"/>
      <c r="C17" s="158" t="s">
        <v>128</v>
      </c>
      <c r="D17" s="158"/>
      <c r="E17" s="158"/>
      <c r="F17" s="159" t="s">
        <v>13</v>
      </c>
      <c r="G17" s="159"/>
      <c r="H17" s="159"/>
      <c r="I17" s="158" t="s">
        <v>126</v>
      </c>
      <c r="J17" s="158"/>
      <c r="K17" s="158"/>
      <c r="L17" s="94" t="s">
        <v>125</v>
      </c>
      <c r="O17" s="47"/>
      <c r="P17" s="46"/>
    </row>
    <row r="18" spans="1:17" ht="16.5" customHeight="1">
      <c r="A18" s="150" t="str">
        <f>IF($H$16=1,CALCULATOR!A57,CALCULATOR!A50)</f>
        <v>01.07.2016</v>
      </c>
      <c r="B18" s="113"/>
      <c r="C18" s="113" t="str">
        <f>IF($H$16=1,CALCULATOR!B57,CALCULATOR!B50)</f>
        <v>ANNUAL INCREMENT</v>
      </c>
      <c r="D18" s="113"/>
      <c r="E18" s="151"/>
      <c r="F18" s="80" t="str">
        <f>IF($G$16&gt;=1,"(LEVEL -"," ")</f>
        <v>(LEVEL -</v>
      </c>
      <c r="G18" s="81" t="str">
        <f>IF($G$16&gt;=1,I13," ")</f>
        <v>0</v>
      </c>
      <c r="H18" s="82" t="str">
        <f>IF($G$16&gt;=1,")"," ")</f>
        <v>)</v>
      </c>
      <c r="I18" s="163">
        <f>IF($G$16&gt;=1,L18-H15," ")</f>
        <v>0</v>
      </c>
      <c r="J18" s="158"/>
      <c r="K18" s="158"/>
      <c r="L18" s="70">
        <f>IF($G$16&gt;=1,CALCULATOR!B27," ")</f>
        <v>0</v>
      </c>
      <c r="O18" s="47"/>
      <c r="P18" s="46"/>
    </row>
    <row r="19" spans="1:17" ht="16.5" customHeight="1">
      <c r="A19" s="150" t="str">
        <f>IF($H$16=1,CALCULATOR!A58,CALCULATOR!A51)</f>
        <v>01.07.2017</v>
      </c>
      <c r="B19" s="113"/>
      <c r="C19" s="113" t="str">
        <f>IF($H$16=1,CALCULATOR!B58,CALCULATOR!B51)</f>
        <v>ANNUAL INCREMENT</v>
      </c>
      <c r="D19" s="113"/>
      <c r="E19" s="151"/>
      <c r="F19" s="80" t="str">
        <f>IF($G$16&gt;=2,"(LEVEL -"," ")</f>
        <v>(LEVEL -</v>
      </c>
      <c r="G19" s="83" t="str">
        <f>IF($G$16&gt;=2,G18," ")</f>
        <v>0</v>
      </c>
      <c r="H19" s="82" t="str">
        <f>IF($G$16&gt;=2,")"," ")</f>
        <v>)</v>
      </c>
      <c r="I19" s="163">
        <f>IF($G$16&gt;=2,L19-L18," ")</f>
        <v>0</v>
      </c>
      <c r="J19" s="158"/>
      <c r="K19" s="158"/>
      <c r="L19" s="70">
        <f>IF($G$16&gt;=2,CALCULATOR!B28," ")</f>
        <v>0</v>
      </c>
      <c r="O19" s="47"/>
      <c r="P19" s="46"/>
    </row>
    <row r="20" spans="1:17" ht="16.5" customHeight="1">
      <c r="A20" s="150" t="str">
        <f>IF($H$16=1,CALCULATOR!A59,CALCULATOR!A52)</f>
        <v>01.07.2018</v>
      </c>
      <c r="B20" s="113"/>
      <c r="C20" s="113" t="str">
        <f>IF($H$16=1,CALCULATOR!B59,CALCULATOR!B52)</f>
        <v>ANNUAL INCREMENT</v>
      </c>
      <c r="D20" s="113"/>
      <c r="E20" s="151"/>
      <c r="F20" s="80" t="str">
        <f>IF($G$16&gt;=3,"(LEVEL -"," ")</f>
        <v>(LEVEL -</v>
      </c>
      <c r="G20" s="83" t="str">
        <f>IF($G$16&gt;=3,G19," ")</f>
        <v>0</v>
      </c>
      <c r="H20" s="82" t="str">
        <f>IF($G$16&gt;=3,")"," ")</f>
        <v>)</v>
      </c>
      <c r="I20" s="163">
        <f>IF($G$16&gt;=3,L20-L19," ")</f>
        <v>0</v>
      </c>
      <c r="J20" s="158"/>
      <c r="K20" s="158"/>
      <c r="L20" s="70">
        <f>IF($G$16&gt;=3,CALCULATOR!B29," ")</f>
        <v>0</v>
      </c>
      <c r="O20" s="47"/>
      <c r="P20" s="46"/>
    </row>
    <row r="21" spans="1:17" ht="16.5" customHeight="1">
      <c r="A21" s="150" t="str">
        <f>IF($H$16=1,CALCULATOR!A60,CALCULATOR!A53)</f>
        <v>01.07.2019</v>
      </c>
      <c r="B21" s="113"/>
      <c r="C21" s="113" t="str">
        <f>IF($H$16=1,CALCULATOR!B60,CALCULATOR!B53)</f>
        <v>ANNUAL INCREMENT</v>
      </c>
      <c r="D21" s="113"/>
      <c r="E21" s="151"/>
      <c r="F21" s="80" t="str">
        <f>IF($G$16&gt;=4,"(LEVEL -"," ")</f>
        <v>(LEVEL -</v>
      </c>
      <c r="G21" s="83" t="str">
        <f>IF($G$16&gt;=4,G20," ")</f>
        <v>0</v>
      </c>
      <c r="H21" s="82" t="str">
        <f>IF($G$16&gt;=4,")"," ")</f>
        <v>)</v>
      </c>
      <c r="I21" s="163">
        <f>IF($G$16&gt;=4,L21-L20," ")</f>
        <v>0</v>
      </c>
      <c r="J21" s="158"/>
      <c r="K21" s="158"/>
      <c r="L21" s="70">
        <f>IF($G$16&gt;=4,CALCULATOR!B30," ")</f>
        <v>0</v>
      </c>
      <c r="O21" s="47"/>
      <c r="P21" s="46"/>
    </row>
    <row r="22" spans="1:17" ht="16.5" customHeight="1">
      <c r="A22" s="150" t="str">
        <f>IF($H$16=1,CALCULATOR!A61,CALCULATOR!A54)</f>
        <v xml:space="preserve"> </v>
      </c>
      <c r="B22" s="113"/>
      <c r="C22" s="113" t="str">
        <f>IF($H$16=1,CALCULATOR!B61,CALCULATOR!B54)</f>
        <v xml:space="preserve"> </v>
      </c>
      <c r="D22" s="113"/>
      <c r="E22" s="151"/>
      <c r="F22" s="80" t="str">
        <f>IF($G$16&gt;=5,"(LEVEL -"," ")</f>
        <v xml:space="preserve"> </v>
      </c>
      <c r="G22" s="83" t="str">
        <f>IF($G$16&gt;=5,G21," ")</f>
        <v xml:space="preserve"> </v>
      </c>
      <c r="H22" s="82" t="str">
        <f>IF($G$16&gt;=5,")"," ")</f>
        <v xml:space="preserve"> </v>
      </c>
      <c r="I22" s="163" t="str">
        <f>IF($G$16&gt;=5,L22-L21," ")</f>
        <v xml:space="preserve"> </v>
      </c>
      <c r="J22" s="158"/>
      <c r="K22" s="158"/>
      <c r="L22" s="70" t="str">
        <f>IF($G$16&gt;=5,CALCULATOR!B31," ")</f>
        <v xml:space="preserve"> </v>
      </c>
      <c r="O22" s="47"/>
      <c r="P22" s="46"/>
    </row>
    <row r="23" spans="1:17" ht="29.25" customHeight="1">
      <c r="A23" s="145" t="s">
        <v>130</v>
      </c>
      <c r="B23" s="145"/>
      <c r="C23" s="145"/>
      <c r="D23" s="145"/>
      <c r="E23" s="145"/>
      <c r="F23" s="145"/>
      <c r="G23" s="52" t="s">
        <v>61</v>
      </c>
      <c r="H23" s="148">
        <f>CALCULATOR!F25</f>
        <v>0</v>
      </c>
      <c r="I23" s="148"/>
      <c r="J23" s="148"/>
      <c r="K23" s="148"/>
      <c r="L23" s="148"/>
      <c r="M23" s="60"/>
      <c r="O23" s="47">
        <v>4400</v>
      </c>
      <c r="P23" s="46" t="s">
        <v>79</v>
      </c>
      <c r="Q23" s="46" t="s">
        <v>165</v>
      </c>
    </row>
    <row r="24" spans="1:17" ht="27.75" customHeight="1">
      <c r="A24" s="145" t="s">
        <v>131</v>
      </c>
      <c r="B24" s="145"/>
      <c r="C24" s="145"/>
      <c r="D24" s="145"/>
      <c r="E24" s="145"/>
      <c r="F24" s="145"/>
      <c r="G24" s="52" t="s">
        <v>61</v>
      </c>
      <c r="H24" s="149">
        <v>44013</v>
      </c>
      <c r="I24" s="149"/>
      <c r="J24" s="149"/>
      <c r="K24" s="149"/>
      <c r="L24" s="149"/>
      <c r="M24" s="60"/>
      <c r="O24" s="47">
        <v>4700</v>
      </c>
      <c r="P24" s="46" t="s">
        <v>80</v>
      </c>
      <c r="Q24" s="46" t="s">
        <v>165</v>
      </c>
    </row>
    <row r="25" spans="1:17" ht="30">
      <c r="A25" s="147"/>
      <c r="B25" s="147"/>
      <c r="C25" s="147"/>
      <c r="D25" s="147"/>
      <c r="E25" s="147"/>
      <c r="F25" s="147"/>
      <c r="G25" s="43"/>
      <c r="H25" s="43"/>
      <c r="I25" s="43"/>
      <c r="J25" s="43"/>
      <c r="K25" s="43"/>
      <c r="L25" s="43"/>
      <c r="O25" s="47">
        <v>4800</v>
      </c>
      <c r="P25" s="46" t="s">
        <v>67</v>
      </c>
      <c r="Q25" s="46" t="s">
        <v>165</v>
      </c>
    </row>
    <row r="26" spans="1:17" ht="30">
      <c r="A26" s="44"/>
      <c r="B26" s="44"/>
      <c r="C26" s="44"/>
      <c r="D26" s="44"/>
      <c r="E26" s="44"/>
      <c r="F26" s="44"/>
      <c r="G26" s="43"/>
      <c r="H26" s="43"/>
      <c r="I26" s="43"/>
      <c r="J26" s="43"/>
      <c r="K26" s="43"/>
      <c r="L26" s="43"/>
      <c r="O26" s="47">
        <v>5400</v>
      </c>
      <c r="P26" s="46" t="s">
        <v>81</v>
      </c>
      <c r="Q26" s="46" t="s">
        <v>166</v>
      </c>
    </row>
    <row r="27" spans="1:17">
      <c r="A27" s="44"/>
      <c r="B27" s="44"/>
      <c r="C27" s="44"/>
      <c r="D27" s="44"/>
      <c r="E27" s="44"/>
      <c r="F27" s="44"/>
      <c r="G27" s="43"/>
      <c r="H27" s="43"/>
      <c r="I27" s="43"/>
      <c r="J27" s="43"/>
      <c r="K27" s="43"/>
      <c r="L27" s="43"/>
    </row>
    <row r="28" spans="1:17">
      <c r="A28" s="44"/>
      <c r="B28" s="44"/>
      <c r="C28" s="44"/>
      <c r="D28" s="44"/>
      <c r="E28" s="147" t="s">
        <v>75</v>
      </c>
      <c r="F28" s="147"/>
      <c r="G28" s="147"/>
      <c r="H28" s="147"/>
      <c r="I28" s="147"/>
      <c r="J28" s="147"/>
      <c r="K28" s="147"/>
      <c r="L28" s="147"/>
    </row>
    <row r="29" spans="1:17">
      <c r="A29" s="43"/>
      <c r="B29" s="43"/>
      <c r="C29" s="43"/>
      <c r="D29" s="43"/>
      <c r="E29" s="147" t="s">
        <v>76</v>
      </c>
      <c r="F29" s="147"/>
      <c r="G29" s="147"/>
      <c r="H29" s="147"/>
      <c r="I29" s="147"/>
      <c r="J29" s="147"/>
      <c r="K29" s="147"/>
      <c r="L29" s="147"/>
    </row>
    <row r="31" spans="1:17">
      <c r="A31" s="95" t="s">
        <v>95</v>
      </c>
    </row>
  </sheetData>
  <sheetProtection password="D893" sheet="1" objects="1" scenarios="1"/>
  <mergeCells count="50">
    <mergeCell ref="C20:E20"/>
    <mergeCell ref="C21:E21"/>
    <mergeCell ref="C22:E22"/>
    <mergeCell ref="I18:K18"/>
    <mergeCell ref="I19:K19"/>
    <mergeCell ref="I20:K20"/>
    <mergeCell ref="I21:K21"/>
    <mergeCell ref="I22:K22"/>
    <mergeCell ref="A6:F6"/>
    <mergeCell ref="H6:L6"/>
    <mergeCell ref="A16:F16"/>
    <mergeCell ref="I17:K17"/>
    <mergeCell ref="F17:H17"/>
    <mergeCell ref="A17:B17"/>
    <mergeCell ref="C17:E17"/>
    <mergeCell ref="A7:F7"/>
    <mergeCell ref="H7:L7"/>
    <mergeCell ref="A8:F8"/>
    <mergeCell ref="H8:L8"/>
    <mergeCell ref="A9:F9"/>
    <mergeCell ref="H9:L9"/>
    <mergeCell ref="A10:F10"/>
    <mergeCell ref="H10:L10"/>
    <mergeCell ref="A11:F11"/>
    <mergeCell ref="A1:L1"/>
    <mergeCell ref="A2:L2"/>
    <mergeCell ref="A3:L3"/>
    <mergeCell ref="A5:F5"/>
    <mergeCell ref="H5:L5"/>
    <mergeCell ref="H11:L11"/>
    <mergeCell ref="A12:F12"/>
    <mergeCell ref="H12:L12"/>
    <mergeCell ref="A13:F13"/>
    <mergeCell ref="A14:F14"/>
    <mergeCell ref="A15:F15"/>
    <mergeCell ref="H15:L15"/>
    <mergeCell ref="E29:L29"/>
    <mergeCell ref="A23:F23"/>
    <mergeCell ref="H23:L23"/>
    <mergeCell ref="A24:F24"/>
    <mergeCell ref="H24:L24"/>
    <mergeCell ref="A25:F25"/>
    <mergeCell ref="E28:L28"/>
    <mergeCell ref="A18:B18"/>
    <mergeCell ref="A19:B19"/>
    <mergeCell ref="A20:B20"/>
    <mergeCell ref="A21:B21"/>
    <mergeCell ref="A22:B22"/>
    <mergeCell ref="C18:E18"/>
    <mergeCell ref="C19:E19"/>
  </mergeCells>
  <printOptions horizontalCentered="1"/>
  <pageMargins left="0.32" right="0.33" top="0.75" bottom="0.51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9"/>
  <sheetViews>
    <sheetView workbookViewId="0">
      <selection activeCell="L28" sqref="L28"/>
    </sheetView>
  </sheetViews>
  <sheetFormatPr defaultRowHeight="15"/>
  <sheetData>
    <row r="1" spans="1:10" ht="18.75">
      <c r="A1" s="175" t="s">
        <v>96</v>
      </c>
      <c r="B1" s="175"/>
      <c r="C1" s="175"/>
      <c r="D1" s="175"/>
      <c r="E1" s="175"/>
      <c r="F1" s="175"/>
      <c r="G1" s="175"/>
      <c r="H1" s="175"/>
      <c r="I1" s="175"/>
      <c r="J1" s="175"/>
    </row>
    <row r="2" spans="1:10">
      <c r="A2" s="176" t="s">
        <v>97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0">
      <c r="A3" s="176" t="s">
        <v>98</v>
      </c>
      <c r="B3" s="176"/>
      <c r="C3" s="176"/>
      <c r="D3" s="176"/>
      <c r="E3" s="176"/>
      <c r="F3" s="176"/>
      <c r="G3" s="176"/>
      <c r="H3" s="176"/>
      <c r="I3" s="176"/>
      <c r="J3" s="176"/>
    </row>
    <row r="6" spans="1:10" ht="18" customHeight="1">
      <c r="A6" s="54" t="s">
        <v>99</v>
      </c>
      <c r="B6" s="168"/>
      <c r="C6" s="168"/>
      <c r="D6" s="168"/>
      <c r="E6" s="168"/>
      <c r="F6" s="168"/>
      <c r="G6" s="168"/>
      <c r="H6" s="164" t="s">
        <v>100</v>
      </c>
      <c r="I6" s="164"/>
      <c r="J6" s="164"/>
    </row>
    <row r="7" spans="1:10" ht="18" customHeight="1">
      <c r="A7" s="171" t="s">
        <v>101</v>
      </c>
      <c r="B7" s="171"/>
      <c r="C7" s="171"/>
      <c r="D7" s="171"/>
      <c r="E7" s="171"/>
      <c r="F7" s="171"/>
      <c r="G7" s="171"/>
      <c r="H7" s="171"/>
      <c r="I7" s="171"/>
      <c r="J7" s="171"/>
    </row>
    <row r="8" spans="1:10" ht="18" customHeight="1">
      <c r="A8" s="54" t="s">
        <v>102</v>
      </c>
      <c r="B8" s="168"/>
      <c r="C8" s="168"/>
      <c r="D8" s="168"/>
      <c r="E8" s="168"/>
      <c r="F8" s="168"/>
      <c r="G8" s="168"/>
      <c r="H8" s="164" t="s">
        <v>103</v>
      </c>
      <c r="I8" s="164"/>
      <c r="J8" s="164"/>
    </row>
    <row r="9" spans="1:10" ht="18" customHeight="1">
      <c r="A9" s="171" t="s">
        <v>104</v>
      </c>
      <c r="B9" s="171"/>
      <c r="C9" s="171"/>
      <c r="D9" s="171"/>
      <c r="E9" s="171"/>
      <c r="F9" s="171"/>
      <c r="G9" s="171"/>
      <c r="H9" s="171"/>
      <c r="I9" s="171"/>
      <c r="J9" s="171"/>
    </row>
    <row r="10" spans="1:10">
      <c r="A10" s="54"/>
      <c r="B10" s="172" t="s">
        <v>105</v>
      </c>
      <c r="C10" s="172"/>
      <c r="D10" s="172"/>
      <c r="E10" s="172"/>
      <c r="F10" s="172"/>
      <c r="G10" s="172"/>
      <c r="H10" s="172"/>
      <c r="I10" s="172"/>
      <c r="J10" s="172"/>
    </row>
    <row r="11" spans="1:10" ht="44.25" customHeight="1">
      <c r="A11" s="54"/>
      <c r="B11" s="171" t="s">
        <v>106</v>
      </c>
      <c r="C11" s="171"/>
      <c r="D11" s="171"/>
      <c r="E11" s="171"/>
      <c r="F11" s="171"/>
      <c r="G11" s="171"/>
      <c r="H11" s="171"/>
      <c r="I11" s="171"/>
      <c r="J11" s="171"/>
    </row>
    <row r="12" spans="1:10" ht="29.25" customHeight="1">
      <c r="A12" s="54"/>
      <c r="B12" s="171" t="s">
        <v>107</v>
      </c>
      <c r="C12" s="171"/>
      <c r="D12" s="171"/>
      <c r="E12" s="171"/>
      <c r="F12" s="171"/>
      <c r="G12" s="172"/>
      <c r="H12" s="172"/>
      <c r="I12" s="172"/>
      <c r="J12" s="172"/>
    </row>
    <row r="13" spans="1:10">
      <c r="B13" s="53"/>
      <c r="C13" s="53"/>
      <c r="D13" s="53"/>
      <c r="E13" s="53"/>
      <c r="F13" s="53"/>
      <c r="G13" s="53"/>
      <c r="H13" s="53"/>
      <c r="I13" s="53"/>
      <c r="J13" s="53"/>
    </row>
    <row r="14" spans="1:10">
      <c r="B14" s="53"/>
      <c r="C14" s="53"/>
      <c r="D14" s="53"/>
      <c r="E14" s="53"/>
      <c r="F14" s="53"/>
      <c r="G14" s="53"/>
      <c r="H14" s="53"/>
      <c r="I14" s="53"/>
      <c r="J14" s="53"/>
    </row>
    <row r="15" spans="1:10">
      <c r="A15" s="173" t="s">
        <v>108</v>
      </c>
      <c r="B15" s="173"/>
      <c r="C15" s="173"/>
      <c r="D15" s="173"/>
      <c r="E15" s="174" t="str">
        <f>FIXATION!H9</f>
        <v>DATA NOT ENTERED</v>
      </c>
      <c r="F15" s="174"/>
      <c r="G15" s="174"/>
      <c r="H15" s="174"/>
      <c r="I15" s="174"/>
      <c r="J15" s="174"/>
    </row>
    <row r="17" spans="1:10" ht="18" customHeight="1">
      <c r="A17" s="54"/>
      <c r="B17" s="54"/>
      <c r="C17" s="54"/>
      <c r="D17" s="54"/>
      <c r="E17" s="167" t="s">
        <v>109</v>
      </c>
      <c r="F17" s="167"/>
      <c r="G17" s="168"/>
      <c r="H17" s="168"/>
      <c r="I17" s="168"/>
      <c r="J17" s="168"/>
    </row>
    <row r="18" spans="1:10" ht="36" customHeight="1">
      <c r="A18" s="54"/>
      <c r="B18" s="54"/>
      <c r="C18" s="54"/>
      <c r="D18" s="54"/>
      <c r="E18" s="55"/>
      <c r="F18" s="192" t="s">
        <v>110</v>
      </c>
      <c r="G18" s="191"/>
      <c r="H18" s="191"/>
      <c r="I18" s="191"/>
      <c r="J18" s="191"/>
    </row>
    <row r="19" spans="1:10" ht="18" customHeight="1">
      <c r="A19" s="54"/>
      <c r="B19" s="54"/>
      <c r="C19" s="54"/>
      <c r="D19" s="54"/>
      <c r="E19" s="167" t="s">
        <v>111</v>
      </c>
      <c r="F19" s="167"/>
      <c r="G19" s="169" t="s">
        <v>179</v>
      </c>
      <c r="H19" s="169"/>
      <c r="I19" s="169"/>
      <c r="J19" s="169"/>
    </row>
    <row r="20" spans="1:10" ht="36" customHeight="1">
      <c r="A20" s="54"/>
      <c r="B20" s="54"/>
      <c r="C20" s="190" t="s">
        <v>112</v>
      </c>
      <c r="D20" s="190"/>
      <c r="E20" s="190"/>
      <c r="F20" s="190"/>
      <c r="G20" s="191"/>
      <c r="H20" s="191"/>
      <c r="I20" s="191"/>
      <c r="J20" s="191"/>
    </row>
    <row r="21" spans="1:10" ht="18" customHeight="1">
      <c r="A21" s="54"/>
      <c r="B21" s="54"/>
      <c r="C21" s="54"/>
      <c r="D21" s="167" t="s">
        <v>113</v>
      </c>
      <c r="E21" s="167"/>
      <c r="F21" s="167"/>
      <c r="G21" s="170"/>
      <c r="H21" s="170"/>
      <c r="I21" s="170"/>
      <c r="J21" s="170"/>
    </row>
    <row r="22" spans="1:10">
      <c r="A22" s="54"/>
      <c r="B22" s="54"/>
      <c r="C22" s="54"/>
      <c r="D22" s="56"/>
      <c r="E22" s="56"/>
      <c r="F22" s="56"/>
      <c r="G22" s="57"/>
      <c r="H22" s="57"/>
      <c r="I22" s="57"/>
      <c r="J22" s="57"/>
    </row>
    <row r="23" spans="1:10">
      <c r="A23" s="54" t="s">
        <v>114</v>
      </c>
      <c r="B23" s="54"/>
      <c r="C23" s="54"/>
      <c r="D23" s="54"/>
      <c r="E23" s="54"/>
      <c r="F23" s="54"/>
      <c r="G23" s="54"/>
      <c r="H23" s="54"/>
      <c r="I23" s="54"/>
      <c r="J23" s="54"/>
    </row>
    <row r="24" spans="1:10">
      <c r="A24" s="54"/>
      <c r="B24" s="54"/>
      <c r="C24" s="54"/>
      <c r="D24" s="54"/>
      <c r="E24" s="54"/>
      <c r="F24" s="54"/>
      <c r="G24" s="54"/>
      <c r="H24" s="54"/>
      <c r="I24" s="54"/>
      <c r="J24" s="54"/>
    </row>
    <row r="25" spans="1:10">
      <c r="A25" s="54"/>
      <c r="B25" s="54"/>
      <c r="C25" s="54"/>
      <c r="D25" s="54"/>
      <c r="E25" s="54"/>
      <c r="F25" s="54"/>
      <c r="G25" s="54"/>
      <c r="H25" s="54"/>
      <c r="I25" s="54"/>
      <c r="J25" s="54"/>
    </row>
    <row r="26" spans="1:10" ht="15.75">
      <c r="A26" s="58" t="s">
        <v>115</v>
      </c>
      <c r="B26" s="54"/>
      <c r="C26" s="54"/>
      <c r="D26" s="54"/>
      <c r="E26" s="54"/>
      <c r="F26" s="54"/>
      <c r="G26" s="54"/>
      <c r="H26" s="54"/>
      <c r="I26" s="54"/>
      <c r="J26" s="54"/>
    </row>
    <row r="27" spans="1:10">
      <c r="A27" s="54"/>
      <c r="B27" s="54"/>
      <c r="C27" s="54"/>
      <c r="D27" s="54"/>
      <c r="E27" s="54"/>
      <c r="F27" s="54"/>
      <c r="G27" s="54"/>
      <c r="H27" s="54"/>
      <c r="I27" s="54"/>
      <c r="J27" s="54"/>
    </row>
    <row r="28" spans="1:10">
      <c r="A28" s="54"/>
      <c r="B28" s="54"/>
      <c r="C28" s="54"/>
      <c r="D28" s="54"/>
      <c r="E28" s="54"/>
      <c r="F28" s="54"/>
      <c r="G28" s="54"/>
      <c r="H28" s="54"/>
      <c r="I28" s="54"/>
      <c r="J28" s="54"/>
    </row>
    <row r="29" spans="1:10" ht="63.75" customHeight="1">
      <c r="A29" s="166" t="s">
        <v>116</v>
      </c>
      <c r="B29" s="166"/>
      <c r="C29" s="166"/>
      <c r="D29" s="166"/>
      <c r="E29" s="166"/>
      <c r="F29" s="166"/>
      <c r="G29" s="166"/>
      <c r="H29" s="166"/>
      <c r="I29" s="166"/>
      <c r="J29" s="166"/>
    </row>
    <row r="30" spans="1:10">
      <c r="A30" s="54"/>
      <c r="B30" s="54"/>
      <c r="C30" s="54"/>
      <c r="D30" s="54"/>
      <c r="E30" s="54"/>
      <c r="F30" s="54"/>
      <c r="G30" s="54"/>
      <c r="H30" s="54"/>
      <c r="I30" s="54"/>
      <c r="J30" s="54"/>
    </row>
    <row r="31" spans="1:10">
      <c r="A31" s="54"/>
      <c r="B31" s="54"/>
      <c r="C31" s="54"/>
      <c r="D31" s="54"/>
      <c r="E31" s="54"/>
      <c r="F31" s="54"/>
      <c r="G31" s="54"/>
      <c r="H31" s="54"/>
      <c r="I31" s="54"/>
      <c r="J31" s="54"/>
    </row>
    <row r="32" spans="1:10">
      <c r="A32" s="54"/>
      <c r="B32" s="54"/>
      <c r="C32" s="54"/>
      <c r="D32" s="54"/>
      <c r="E32" s="54"/>
      <c r="F32" s="54"/>
      <c r="G32" s="54"/>
      <c r="H32" s="54"/>
      <c r="I32" s="54"/>
      <c r="J32" s="54"/>
    </row>
    <row r="33" spans="1:10" ht="22.5" customHeight="1">
      <c r="A33" s="54"/>
      <c r="B33" s="54"/>
      <c r="C33" s="54"/>
      <c r="D33" s="54"/>
      <c r="E33" s="167" t="s">
        <v>109</v>
      </c>
      <c r="F33" s="167"/>
      <c r="G33" s="168"/>
      <c r="H33" s="168"/>
      <c r="I33" s="168"/>
      <c r="J33" s="168"/>
    </row>
    <row r="34" spans="1:10" ht="22.5" customHeight="1">
      <c r="A34" s="54"/>
      <c r="B34" s="54"/>
      <c r="C34" s="54"/>
      <c r="D34" s="54"/>
      <c r="E34" s="55"/>
      <c r="F34" s="56" t="s">
        <v>110</v>
      </c>
      <c r="G34" s="169"/>
      <c r="H34" s="169"/>
      <c r="I34" s="169"/>
      <c r="J34" s="169"/>
    </row>
    <row r="35" spans="1:10" ht="22.5" customHeight="1">
      <c r="A35" s="54"/>
      <c r="B35" s="54"/>
      <c r="C35" s="54"/>
      <c r="D35" s="54"/>
      <c r="E35" s="167" t="s">
        <v>111</v>
      </c>
      <c r="F35" s="167"/>
      <c r="G35" s="169"/>
      <c r="H35" s="169"/>
      <c r="I35" s="169"/>
      <c r="J35" s="169"/>
    </row>
    <row r="36" spans="1:10">
      <c r="A36" s="54" t="s">
        <v>117</v>
      </c>
      <c r="B36" s="164"/>
      <c r="C36" s="164"/>
      <c r="D36" s="54"/>
      <c r="E36" s="54"/>
      <c r="F36" s="54"/>
      <c r="G36" s="54"/>
      <c r="H36" s="54"/>
      <c r="I36" s="54"/>
      <c r="J36" s="54"/>
    </row>
    <row r="37" spans="1:10">
      <c r="A37" s="54" t="s">
        <v>118</v>
      </c>
      <c r="B37" s="164"/>
      <c r="C37" s="164"/>
      <c r="D37" s="164"/>
      <c r="E37" s="54"/>
      <c r="F37" s="54"/>
      <c r="G37" s="54"/>
      <c r="H37" s="54"/>
      <c r="I37" s="54"/>
      <c r="J37" s="54"/>
    </row>
    <row r="39" spans="1:10">
      <c r="I39" s="165" t="s">
        <v>95</v>
      </c>
      <c r="J39" s="165"/>
    </row>
  </sheetData>
  <sheetProtection password="D893" sheet="1" objects="1" scenarios="1"/>
  <mergeCells count="35">
    <mergeCell ref="B11:F11"/>
    <mergeCell ref="G11:J11"/>
    <mergeCell ref="A1:J1"/>
    <mergeCell ref="A2:J2"/>
    <mergeCell ref="A3:J3"/>
    <mergeCell ref="B6:G6"/>
    <mergeCell ref="H6:J6"/>
    <mergeCell ref="A7:J7"/>
    <mergeCell ref="B8:G8"/>
    <mergeCell ref="H8:J8"/>
    <mergeCell ref="A9:J9"/>
    <mergeCell ref="B10:F10"/>
    <mergeCell ref="G10:J10"/>
    <mergeCell ref="D21:F21"/>
    <mergeCell ref="G21:J21"/>
    <mergeCell ref="B12:F12"/>
    <mergeCell ref="G12:J12"/>
    <mergeCell ref="A15:D15"/>
    <mergeCell ref="E15:J15"/>
    <mergeCell ref="E17:F17"/>
    <mergeCell ref="G17:J17"/>
    <mergeCell ref="G18:J18"/>
    <mergeCell ref="E19:F19"/>
    <mergeCell ref="G19:J19"/>
    <mergeCell ref="C20:F20"/>
    <mergeCell ref="G20:J20"/>
    <mergeCell ref="B36:C36"/>
    <mergeCell ref="B37:D37"/>
    <mergeCell ref="I39:J39"/>
    <mergeCell ref="A29:J29"/>
    <mergeCell ref="E33:F33"/>
    <mergeCell ref="G33:J33"/>
    <mergeCell ref="G34:J34"/>
    <mergeCell ref="E35:F35"/>
    <mergeCell ref="G35:J35"/>
  </mergeCells>
  <printOptions horizontalCentered="1"/>
  <pageMargins left="0.42" right="0.43" top="0.56000000000000005" bottom="0.53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O47"/>
  <sheetViews>
    <sheetView tabSelected="1" zoomScalePageLayoutView="70" workbookViewId="0">
      <selection activeCell="D8" sqref="D8:I8"/>
    </sheetView>
  </sheetViews>
  <sheetFormatPr defaultRowHeight="15"/>
  <cols>
    <col min="2" max="2" width="7.5703125" customWidth="1"/>
    <col min="3" max="3" width="11.140625" customWidth="1"/>
    <col min="5" max="5" width="11" customWidth="1"/>
    <col min="6" max="6" width="11.140625" customWidth="1"/>
    <col min="7" max="7" width="11.85546875" customWidth="1"/>
    <col min="8" max="8" width="11.140625" customWidth="1"/>
    <col min="9" max="9" width="11.7109375" customWidth="1"/>
  </cols>
  <sheetData>
    <row r="2" spans="1:15" ht="18.75">
      <c r="A2" s="180" t="s">
        <v>132</v>
      </c>
      <c r="B2" s="180"/>
      <c r="C2" s="180"/>
      <c r="D2" s="180"/>
      <c r="E2" s="180"/>
      <c r="F2" s="180"/>
      <c r="G2" s="180"/>
      <c r="H2" s="180"/>
      <c r="I2" s="180"/>
    </row>
    <row r="3" spans="1:15" ht="18.75">
      <c r="A3" s="180" t="s">
        <v>133</v>
      </c>
      <c r="B3" s="180"/>
      <c r="C3" s="180"/>
      <c r="D3" s="180"/>
      <c r="E3" s="180"/>
      <c r="F3" s="180"/>
      <c r="G3" s="180"/>
      <c r="H3" s="180"/>
      <c r="I3" s="180"/>
    </row>
    <row r="4" spans="1:15" ht="15.75">
      <c r="A4" s="181" t="s">
        <v>134</v>
      </c>
      <c r="B4" s="181"/>
      <c r="C4" s="181"/>
      <c r="D4" s="181"/>
      <c r="E4" s="181"/>
      <c r="F4" s="181"/>
      <c r="G4" s="181"/>
      <c r="H4" s="181"/>
      <c r="I4" s="181"/>
    </row>
    <row r="5" spans="1:15" ht="15.75">
      <c r="A5" s="181" t="s">
        <v>135</v>
      </c>
      <c r="B5" s="181"/>
      <c r="C5" s="181"/>
      <c r="D5" s="181"/>
      <c r="E5" s="181"/>
      <c r="F5" s="181"/>
      <c r="G5" s="181"/>
      <c r="H5" s="181"/>
      <c r="I5" s="181"/>
    </row>
    <row r="6" spans="1:15">
      <c r="A6" s="39"/>
      <c r="B6" s="39"/>
      <c r="C6" s="39"/>
      <c r="D6" s="39"/>
      <c r="E6" s="39"/>
      <c r="F6" s="39"/>
      <c r="G6" s="39"/>
      <c r="H6" s="39"/>
      <c r="I6" s="39"/>
    </row>
    <row r="7" spans="1:15">
      <c r="A7" s="39"/>
      <c r="B7" s="39"/>
      <c r="C7" s="39"/>
      <c r="D7" s="39"/>
      <c r="E7" s="39"/>
      <c r="F7" s="39"/>
      <c r="G7" s="39"/>
      <c r="H7" s="39"/>
      <c r="I7" s="39"/>
    </row>
    <row r="8" spans="1:15">
      <c r="A8" s="185" t="s">
        <v>159</v>
      </c>
      <c r="B8" s="185"/>
      <c r="C8" s="185"/>
      <c r="D8" s="168"/>
      <c r="E8" s="168"/>
      <c r="F8" s="168"/>
      <c r="G8" s="168"/>
      <c r="H8" s="168"/>
      <c r="I8" s="168"/>
    </row>
    <row r="9" spans="1:15">
      <c r="A9" s="39"/>
      <c r="B9" s="39"/>
      <c r="C9" s="39"/>
      <c r="D9" s="39"/>
      <c r="E9" s="39"/>
      <c r="F9" s="39"/>
      <c r="G9" s="39"/>
      <c r="H9" s="39"/>
      <c r="I9" s="39"/>
    </row>
    <row r="10" spans="1:15">
      <c r="A10" s="185" t="s">
        <v>158</v>
      </c>
      <c r="B10" s="185"/>
      <c r="C10" s="185"/>
      <c r="D10" s="168" t="str">
        <f>FIXATION!H5</f>
        <v>INTERNET</v>
      </c>
      <c r="E10" s="168"/>
      <c r="F10" s="168"/>
      <c r="G10" s="168"/>
      <c r="H10" s="168"/>
      <c r="I10" s="168"/>
    </row>
    <row r="11" spans="1:15">
      <c r="A11" s="39"/>
      <c r="B11" s="39"/>
      <c r="C11" s="39"/>
      <c r="D11" s="39"/>
      <c r="E11" s="39"/>
      <c r="F11" s="39"/>
      <c r="G11" s="39"/>
      <c r="H11" s="39"/>
      <c r="I11" s="39"/>
    </row>
    <row r="12" spans="1:15">
      <c r="A12" s="185" t="s">
        <v>160</v>
      </c>
      <c r="B12" s="185"/>
      <c r="C12" s="185"/>
      <c r="D12" s="168" t="s">
        <v>179</v>
      </c>
      <c r="E12" s="168"/>
      <c r="F12" s="168"/>
      <c r="G12" s="168"/>
      <c r="H12" s="168"/>
      <c r="I12" s="168"/>
      <c r="J12" s="72"/>
      <c r="K12" s="72"/>
      <c r="L12" s="72"/>
      <c r="M12" s="72"/>
      <c r="N12" s="72"/>
      <c r="O12" s="72"/>
    </row>
    <row r="13" spans="1:15">
      <c r="A13" s="39"/>
      <c r="B13" s="39"/>
      <c r="C13" s="39"/>
      <c r="D13" s="39"/>
      <c r="E13" s="39"/>
      <c r="F13" s="39"/>
      <c r="G13" s="39"/>
      <c r="H13" s="39"/>
      <c r="I13" s="39"/>
    </row>
    <row r="14" spans="1:15">
      <c r="A14" s="185" t="s">
        <v>136</v>
      </c>
      <c r="B14" s="185"/>
      <c r="C14" s="185"/>
      <c r="D14" s="185"/>
      <c r="E14" s="185"/>
      <c r="F14" s="185"/>
      <c r="G14" s="185"/>
      <c r="H14" s="185"/>
      <c r="I14" s="185"/>
    </row>
    <row r="15" spans="1:15" ht="30">
      <c r="A15" s="182" t="s">
        <v>161</v>
      </c>
      <c r="B15" s="182"/>
      <c r="C15" s="182" t="s">
        <v>142</v>
      </c>
      <c r="D15" s="182"/>
      <c r="E15" s="182" t="s">
        <v>143</v>
      </c>
      <c r="F15" s="182"/>
      <c r="G15" s="75" t="s">
        <v>144</v>
      </c>
      <c r="H15" s="75" t="s">
        <v>167</v>
      </c>
      <c r="I15" s="75" t="s">
        <v>25</v>
      </c>
    </row>
    <row r="16" spans="1:15" ht="30" customHeight="1">
      <c r="A16" s="177">
        <f>CALCULATOR!C17</f>
        <v>42370</v>
      </c>
      <c r="B16" s="178"/>
      <c r="C16" s="179" t="str">
        <f>FIXATION!Q4</f>
        <v>DATA NOT ENTERED</v>
      </c>
      <c r="D16" s="178"/>
      <c r="E16" s="179">
        <f>I16-G16</f>
        <v>0</v>
      </c>
      <c r="F16" s="178"/>
      <c r="G16" s="76">
        <f>CALCULATOR!F5</f>
        <v>0</v>
      </c>
      <c r="H16" s="76" t="s">
        <v>174</v>
      </c>
      <c r="I16" s="76">
        <f>CALCULATOR!F4</f>
        <v>0</v>
      </c>
    </row>
    <row r="17" spans="1:9">
      <c r="A17" s="39"/>
      <c r="B17" s="39"/>
      <c r="C17" s="39"/>
      <c r="D17" s="39"/>
      <c r="E17" s="39"/>
      <c r="F17" s="39"/>
      <c r="G17" s="39"/>
      <c r="H17" s="39"/>
      <c r="I17" s="39"/>
    </row>
    <row r="18" spans="1:9">
      <c r="A18" s="185" t="s">
        <v>137</v>
      </c>
      <c r="B18" s="185"/>
      <c r="C18" s="185"/>
      <c r="D18" s="185"/>
      <c r="E18" s="185"/>
      <c r="F18" s="185"/>
      <c r="G18" s="185"/>
      <c r="H18" s="185"/>
      <c r="I18" s="185"/>
    </row>
    <row r="19" spans="1:9">
      <c r="A19" s="185" t="s">
        <v>138</v>
      </c>
      <c r="B19" s="185"/>
      <c r="C19" s="185"/>
      <c r="D19" s="185"/>
      <c r="E19" s="185"/>
      <c r="F19" s="185"/>
      <c r="G19" s="185"/>
      <c r="H19" s="185"/>
      <c r="I19" s="185"/>
    </row>
    <row r="20" spans="1:9">
      <c r="A20" s="39"/>
      <c r="B20" s="39"/>
      <c r="C20" s="39"/>
      <c r="D20" s="39"/>
      <c r="E20" s="39"/>
      <c r="F20" s="39"/>
      <c r="G20" s="39"/>
      <c r="H20" s="39"/>
      <c r="I20" s="39"/>
    </row>
    <row r="21" spans="1:9">
      <c r="A21" s="188" t="s">
        <v>139</v>
      </c>
      <c r="B21" s="188"/>
      <c r="C21" s="188"/>
      <c r="D21" s="188"/>
      <c r="E21" s="188"/>
      <c r="F21" s="188"/>
      <c r="G21" s="188"/>
      <c r="H21" s="188"/>
      <c r="I21" s="188"/>
    </row>
    <row r="22" spans="1:9">
      <c r="A22" s="189" t="s">
        <v>140</v>
      </c>
      <c r="B22" s="189"/>
      <c r="C22" s="189"/>
      <c r="D22" s="189"/>
      <c r="E22" s="189"/>
      <c r="F22" s="189"/>
      <c r="G22" s="189"/>
      <c r="H22" s="189"/>
      <c r="I22" s="189"/>
    </row>
    <row r="23" spans="1:9">
      <c r="A23" s="77">
        <f>CALCULATOR!B49</f>
        <v>0</v>
      </c>
      <c r="B23" s="39"/>
      <c r="C23" s="39"/>
      <c r="D23" s="39"/>
      <c r="E23" s="39"/>
      <c r="F23" s="39"/>
      <c r="G23" s="77">
        <f>CALCULATOR!F15</f>
        <v>4</v>
      </c>
      <c r="H23" s="39"/>
      <c r="I23" s="39"/>
    </row>
    <row r="24" spans="1:9" ht="30">
      <c r="A24" s="182" t="s">
        <v>141</v>
      </c>
      <c r="B24" s="182"/>
      <c r="C24" s="182" t="s">
        <v>128</v>
      </c>
      <c r="D24" s="182"/>
      <c r="E24" s="75" t="s">
        <v>142</v>
      </c>
      <c r="F24" s="75" t="s">
        <v>143</v>
      </c>
      <c r="G24" s="75" t="s">
        <v>144</v>
      </c>
      <c r="H24" s="75" t="s">
        <v>167</v>
      </c>
      <c r="I24" s="75" t="s">
        <v>25</v>
      </c>
    </row>
    <row r="25" spans="1:9">
      <c r="A25" s="129" t="str">
        <f>IF($A$23=1,CALCULATOR!A57,CALCULATOR!A50)</f>
        <v>01.07.2016</v>
      </c>
      <c r="B25" s="129"/>
      <c r="C25" s="186" t="str">
        <f>IF($A$23=1,CALCULATOR!B57,CALCULATOR!B50)</f>
        <v>ANNUAL INCREMENT</v>
      </c>
      <c r="D25" s="187"/>
      <c r="E25" s="69" t="str">
        <f>IF($G$23&gt;=1,$C$16," ")</f>
        <v>DATA NOT ENTERED</v>
      </c>
      <c r="F25" s="69">
        <f>IF(G23&gt;=1,I25-G25," ")</f>
        <v>0</v>
      </c>
      <c r="G25" s="69">
        <f>IF($G$23&gt;=1,G16," ")</f>
        <v>0</v>
      </c>
      <c r="H25" s="69" t="str">
        <f>IF($G$23&gt;=1,$H$16," ")</f>
        <v>N/A</v>
      </c>
      <c r="I25" s="69">
        <f>IF(G23&gt;=1,(I16+IF(MOD(I16*0.03,10)&gt;=1,I16*0.03-MOD(I16*0.03,10)+10,I16*0.03-MOD(I16*0.03,10)))," ")</f>
        <v>0</v>
      </c>
    </row>
    <row r="26" spans="1:9">
      <c r="A26" s="129" t="str">
        <f>IF($A$23=1,CALCULATOR!A58,CALCULATOR!A51)</f>
        <v>01.07.2017</v>
      </c>
      <c r="B26" s="129"/>
      <c r="C26" s="186" t="str">
        <f>IF($A$23=1,CALCULATOR!B58,CALCULATOR!B51)</f>
        <v>ANNUAL INCREMENT</v>
      </c>
      <c r="D26" s="187"/>
      <c r="E26" s="69" t="str">
        <f>IF($G$23&gt;=2,$C$16," ")</f>
        <v>DATA NOT ENTERED</v>
      </c>
      <c r="F26" s="69">
        <f>IF(G23&gt;=2,I26-G26," ")</f>
        <v>0</v>
      </c>
      <c r="G26" s="69">
        <f>IF($G$23&gt;=2,G25," ")</f>
        <v>0</v>
      </c>
      <c r="H26" s="69" t="str">
        <f>IF($G$23&gt;=2,$H$16," ")</f>
        <v>N/A</v>
      </c>
      <c r="I26" s="69">
        <f>IF(G23&gt;=2,(I25+IF(MOD(I25*0.03,10)&gt;=1,I25*0.03-MOD(I25*0.03,10)+10,I25*0.03-MOD(I25*0.03,10)))," ")</f>
        <v>0</v>
      </c>
    </row>
    <row r="27" spans="1:9">
      <c r="A27" s="129" t="str">
        <f>IF($A$23=1,CALCULATOR!A59,CALCULATOR!A52)</f>
        <v>01.07.2018</v>
      </c>
      <c r="B27" s="129"/>
      <c r="C27" s="186" t="str">
        <f>IF($A$23=1,CALCULATOR!B59,CALCULATOR!B52)</f>
        <v>ANNUAL INCREMENT</v>
      </c>
      <c r="D27" s="187"/>
      <c r="E27" s="69" t="str">
        <f>IF($G$23&gt;=3,$C$16," ")</f>
        <v>DATA NOT ENTERED</v>
      </c>
      <c r="F27" s="69">
        <f>IF(G23&gt;=3,I27-G27," ")</f>
        <v>0</v>
      </c>
      <c r="G27" s="69">
        <f>IF($G$23&gt;=3,G26," ")</f>
        <v>0</v>
      </c>
      <c r="H27" s="69" t="str">
        <f>IF($G$23&gt;=3,$H$16," ")</f>
        <v>N/A</v>
      </c>
      <c r="I27" s="69">
        <f>IF(G23&gt;=3,(I26+IF(MOD(I26*0.03,10)&gt;=1,I26*0.03-MOD(I26*0.03,10)+10,I26*0.03-MOD(I26*0.03,10)))," ")</f>
        <v>0</v>
      </c>
    </row>
    <row r="28" spans="1:9">
      <c r="A28" s="129" t="str">
        <f>IF($A$23=1,CALCULATOR!A60,CALCULATOR!A53)</f>
        <v>01.07.2019</v>
      </c>
      <c r="B28" s="129"/>
      <c r="C28" s="186" t="str">
        <f>IF($A$23=1,CALCULATOR!B60,CALCULATOR!B53)</f>
        <v>ANNUAL INCREMENT</v>
      </c>
      <c r="D28" s="187"/>
      <c r="E28" s="69" t="str">
        <f>IF($G$23&gt;=4,$C$16," ")</f>
        <v>DATA NOT ENTERED</v>
      </c>
      <c r="F28" s="69">
        <f>IF(G23&gt;=4,I28-G28," ")</f>
        <v>0</v>
      </c>
      <c r="G28" s="69">
        <f>IF($G$23&gt;=4,G27," ")</f>
        <v>0</v>
      </c>
      <c r="H28" s="69" t="str">
        <f>IF($G$23&gt;=4,$H$16," ")</f>
        <v>N/A</v>
      </c>
      <c r="I28" s="69">
        <f>IF(G23&gt;=4,(I27+IF(MOD(I27*0.03,10)&gt;=1,I27*0.03-MOD(I27*0.03,10)+10,I27*0.03-MOD(I27*0.03,10)))," ")</f>
        <v>0</v>
      </c>
    </row>
    <row r="29" spans="1:9">
      <c r="A29" s="129" t="str">
        <f>IF($A$23=1,CALCULATOR!A61,CALCULATOR!A54)</f>
        <v xml:space="preserve"> </v>
      </c>
      <c r="B29" s="129"/>
      <c r="C29" s="186" t="str">
        <f>IF($A$23=1,CALCULATOR!B61,CALCULATOR!B54)</f>
        <v xml:space="preserve"> </v>
      </c>
      <c r="D29" s="187"/>
      <c r="E29" s="69" t="str">
        <f>IF($G$23&gt;=5,$C$16," ")</f>
        <v xml:space="preserve"> </v>
      </c>
      <c r="F29" s="69" t="str">
        <f>IF(G23&gt;=5,I29-G29," ")</f>
        <v xml:space="preserve"> </v>
      </c>
      <c r="G29" s="69" t="str">
        <f>IF($G$23&gt;=5,G28," ")</f>
        <v xml:space="preserve"> </v>
      </c>
      <c r="H29" s="69" t="str">
        <f>IF($G$23&gt;=5,$H$16," ")</f>
        <v xml:space="preserve"> </v>
      </c>
      <c r="I29" s="69" t="str">
        <f>IF(G23&gt;=5,(I28+IF(MOD(I28*0.03,10)&gt;=1,I28*0.03-MOD(I28*0.03,10)+10,I28*0.03-MOD(I28*0.03,10)))," ")</f>
        <v xml:space="preserve"> </v>
      </c>
    </row>
    <row r="30" spans="1:9">
      <c r="A30" s="129"/>
      <c r="B30" s="129"/>
      <c r="C30" s="129"/>
      <c r="D30" s="129"/>
      <c r="E30" s="27"/>
      <c r="F30" s="27"/>
      <c r="G30" s="27"/>
      <c r="H30" s="27"/>
      <c r="I30" s="27"/>
    </row>
    <row r="31" spans="1:9">
      <c r="A31" s="129"/>
      <c r="B31" s="129"/>
      <c r="C31" s="129"/>
      <c r="D31" s="129"/>
      <c r="E31" s="27"/>
      <c r="F31" s="27"/>
      <c r="G31" s="27"/>
      <c r="H31" s="27"/>
      <c r="I31" s="27"/>
    </row>
    <row r="32" spans="1:9">
      <c r="A32" s="39"/>
      <c r="B32" s="39"/>
      <c r="C32" s="39"/>
      <c r="D32" s="39"/>
      <c r="E32" s="39"/>
      <c r="F32" s="39"/>
      <c r="G32" s="39"/>
      <c r="H32" s="39"/>
      <c r="I32" s="39"/>
    </row>
    <row r="33" spans="1:10">
      <c r="A33" s="185" t="s">
        <v>145</v>
      </c>
      <c r="B33" s="185"/>
      <c r="C33" s="185"/>
      <c r="D33" s="185"/>
      <c r="E33" s="185"/>
      <c r="F33" s="185"/>
      <c r="G33" s="185"/>
      <c r="H33" s="185"/>
      <c r="I33" s="185"/>
    </row>
    <row r="34" spans="1:10">
      <c r="A34" s="184" t="s">
        <v>146</v>
      </c>
      <c r="B34" s="184"/>
      <c r="C34" s="184"/>
      <c r="D34" s="184"/>
      <c r="E34" s="184"/>
      <c r="F34" s="184"/>
      <c r="G34" s="184"/>
      <c r="H34" s="184"/>
      <c r="I34" s="184"/>
    </row>
    <row r="35" spans="1:10">
      <c r="A35" s="183" t="s">
        <v>147</v>
      </c>
      <c r="B35" s="183"/>
      <c r="C35" s="183"/>
      <c r="D35" s="183"/>
      <c r="E35" s="183"/>
      <c r="F35" s="183"/>
      <c r="G35" s="183"/>
      <c r="H35" s="183"/>
      <c r="I35" s="183"/>
    </row>
    <row r="36" spans="1:10">
      <c r="A36" s="184" t="s">
        <v>148</v>
      </c>
      <c r="B36" s="184"/>
      <c r="C36" s="184"/>
      <c r="D36" s="184"/>
      <c r="E36" s="184"/>
      <c r="F36" s="184"/>
      <c r="G36" s="184"/>
      <c r="H36" s="184"/>
      <c r="I36" s="184"/>
      <c r="J36" s="74"/>
    </row>
    <row r="37" spans="1:10">
      <c r="A37" s="78"/>
      <c r="B37" s="78"/>
      <c r="C37" s="78"/>
      <c r="D37" s="78"/>
      <c r="E37" s="78"/>
      <c r="F37" s="78"/>
      <c r="G37" s="78"/>
      <c r="H37" s="78"/>
      <c r="I37" s="78"/>
      <c r="J37" s="74"/>
    </row>
    <row r="38" spans="1:10">
      <c r="A38" s="39" t="s">
        <v>149</v>
      </c>
      <c r="B38" s="39"/>
      <c r="C38" s="39"/>
      <c r="D38" s="39"/>
      <c r="E38" s="39"/>
      <c r="F38" s="39"/>
      <c r="G38" s="39"/>
      <c r="H38" s="39"/>
      <c r="I38" s="39"/>
    </row>
    <row r="39" spans="1:10">
      <c r="A39" s="185" t="s">
        <v>150</v>
      </c>
      <c r="B39" s="185"/>
      <c r="C39" s="185"/>
      <c r="D39" s="185"/>
      <c r="E39" s="185"/>
      <c r="F39" s="185"/>
      <c r="G39" s="185"/>
      <c r="H39" s="185"/>
      <c r="I39" s="185"/>
    </row>
    <row r="40" spans="1:10">
      <c r="A40" s="183" t="s">
        <v>151</v>
      </c>
      <c r="B40" s="183"/>
      <c r="C40" s="183"/>
      <c r="D40" s="183"/>
      <c r="E40" s="183"/>
      <c r="F40" s="183"/>
      <c r="G40" s="183"/>
      <c r="H40" s="183"/>
      <c r="I40" s="183"/>
    </row>
    <row r="41" spans="1:10">
      <c r="A41" s="185" t="s">
        <v>152</v>
      </c>
      <c r="B41" s="185"/>
      <c r="C41" s="185"/>
      <c r="D41" s="185"/>
      <c r="E41" s="185"/>
      <c r="F41" s="185"/>
      <c r="G41" s="185"/>
      <c r="H41" s="185"/>
      <c r="I41" s="185"/>
    </row>
    <row r="42" spans="1:10">
      <c r="A42" s="185" t="s">
        <v>153</v>
      </c>
      <c r="B42" s="185"/>
      <c r="C42" s="185"/>
      <c r="D42" s="185"/>
      <c r="E42" s="185"/>
      <c r="F42" s="185"/>
      <c r="G42" s="185"/>
      <c r="H42" s="185"/>
      <c r="I42" s="185"/>
    </row>
    <row r="43" spans="1:10">
      <c r="A43" s="185" t="s">
        <v>154</v>
      </c>
      <c r="B43" s="185"/>
      <c r="C43" s="185"/>
      <c r="D43" s="185"/>
      <c r="E43" s="185"/>
      <c r="F43" s="185"/>
      <c r="G43" s="185"/>
      <c r="H43" s="185"/>
      <c r="I43" s="185"/>
    </row>
    <row r="44" spans="1:10">
      <c r="A44" s="79"/>
      <c r="B44" s="79"/>
      <c r="C44" s="79"/>
      <c r="D44" s="79"/>
      <c r="E44" s="79"/>
      <c r="F44" s="79"/>
      <c r="G44" s="79"/>
      <c r="H44" s="79"/>
      <c r="I44" s="79"/>
    </row>
    <row r="45" spans="1:10">
      <c r="A45" s="39" t="s">
        <v>155</v>
      </c>
      <c r="B45" s="39"/>
      <c r="C45" s="39"/>
      <c r="D45" s="39"/>
      <c r="E45" s="39"/>
      <c r="F45" s="39"/>
      <c r="G45" s="39"/>
      <c r="H45" s="39"/>
      <c r="I45" s="39"/>
    </row>
    <row r="46" spans="1:10">
      <c r="A46" s="185" t="s">
        <v>156</v>
      </c>
      <c r="B46" s="185"/>
      <c r="C46" s="185"/>
      <c r="D46" s="185"/>
      <c r="E46" s="185"/>
      <c r="F46" s="185"/>
      <c r="G46" s="185"/>
      <c r="H46" s="185"/>
      <c r="I46" s="185"/>
    </row>
    <row r="47" spans="1:10">
      <c r="A47" s="183" t="s">
        <v>157</v>
      </c>
      <c r="B47" s="183"/>
      <c r="C47" s="183"/>
      <c r="D47" s="183"/>
      <c r="E47" s="183"/>
      <c r="F47" s="183"/>
      <c r="G47" s="183"/>
      <c r="H47" s="183"/>
      <c r="I47" s="183"/>
    </row>
  </sheetData>
  <sheetProtection password="D893" sheet="1" objects="1" scenarios="1"/>
  <mergeCells count="48">
    <mergeCell ref="A2:I2"/>
    <mergeCell ref="A24:B24"/>
    <mergeCell ref="C24:D24"/>
    <mergeCell ref="A25:B25"/>
    <mergeCell ref="C25:D25"/>
    <mergeCell ref="A18:I18"/>
    <mergeCell ref="A19:I19"/>
    <mergeCell ref="A21:I21"/>
    <mergeCell ref="A22:I22"/>
    <mergeCell ref="A14:I14"/>
    <mergeCell ref="A8:C8"/>
    <mergeCell ref="A10:C10"/>
    <mergeCell ref="A12:C12"/>
    <mergeCell ref="D8:I8"/>
    <mergeCell ref="D10:I10"/>
    <mergeCell ref="D12:I12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47:I47"/>
    <mergeCell ref="A36:I36"/>
    <mergeCell ref="A35:I35"/>
    <mergeCell ref="A34:I34"/>
    <mergeCell ref="A33:I33"/>
    <mergeCell ref="A39:I39"/>
    <mergeCell ref="A40:I40"/>
    <mergeCell ref="A41:I41"/>
    <mergeCell ref="A42:I42"/>
    <mergeCell ref="A43:I43"/>
    <mergeCell ref="A46:I46"/>
    <mergeCell ref="A16:B16"/>
    <mergeCell ref="C16:D16"/>
    <mergeCell ref="E16:F16"/>
    <mergeCell ref="A3:I3"/>
    <mergeCell ref="A4:I4"/>
    <mergeCell ref="A5:I5"/>
    <mergeCell ref="A15:B15"/>
    <mergeCell ref="C15:D15"/>
    <mergeCell ref="E15:F15"/>
  </mergeCells>
  <printOptions horizontalCentered="1"/>
  <pageMargins left="0.34" right="0.31" top="0.48" bottom="0.41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CALCULATOR</vt:lpstr>
      <vt:lpstr>FIXATION</vt:lpstr>
      <vt:lpstr>OPTION</vt:lpstr>
      <vt:lpstr>DCF (JOINED BEFORE 1-1-16)</vt:lpstr>
      <vt:lpstr>FIXATION!Print_Area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RANJAN</dc:creator>
  <cp:lastModifiedBy>RANJAN</cp:lastModifiedBy>
  <cp:lastPrinted>2020-01-08T01:06:57Z</cp:lastPrinted>
  <dcterms:created xsi:type="dcterms:W3CDTF">2019-09-13T15:30:22Z</dcterms:created>
  <dcterms:modified xsi:type="dcterms:W3CDTF">2020-01-08T01:07:52Z</dcterms:modified>
</cp:coreProperties>
</file>