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WeTheTeachers\wtt\files\"/>
    </mc:Choice>
  </mc:AlternateContent>
  <xr:revisionPtr revIDLastSave="0" documentId="13_ncr:1_{B488FCAC-3863-4C04-86DA-B349B77FE257}" xr6:coauthVersionLast="47" xr6:coauthVersionMax="47" xr10:uidLastSave="{00000000-0000-0000-0000-000000000000}"/>
  <bookViews>
    <workbookView xWindow="-108" yWindow="-108" windowWidth="23256" windowHeight="12576" xr2:uid="{00000000-000D-0000-FFFF-FFFF00000000}"/>
  </bookViews>
  <sheets>
    <sheet name="INPUT" sheetId="7" r:id="rId1"/>
    <sheet name="STATEMENT" sheetId="5" r:id="rId2"/>
    <sheet name="TAX" sheetId="6" r:id="rId3"/>
    <sheet name="FORM_16_PART_B" sheetId="10" state="hidden" r:id="rId4"/>
    <sheet name="FORM 16-B" sheetId="11" state="hidden" r:id="rId5"/>
    <sheet name="ONLY TAX CAL" sheetId="12" state="hidden" r:id="rId6"/>
    <sheet name="MATRIX" sheetId="8" state="hidden" r:id="rId7"/>
    <sheet name="FORM16" sheetId="9" state="hidden" r:id="rId8"/>
  </sheets>
  <definedNames>
    <definedName name="_xlnm.Print_Area" localSheetId="5">'ONLY TAX CAL'!$A$1:$I$40</definedName>
    <definedName name="_xlnm.Print_Area" localSheetId="1">STATEMENT!$A$1:$N$22</definedName>
    <definedName name="_xlnm.Print_Area" localSheetId="2">TAX!$A$1:$I$40</definedName>
  </definedNames>
  <calcPr calcId="191029"/>
</workbook>
</file>

<file path=xl/calcChain.xml><?xml version="1.0" encoding="utf-8"?>
<calcChain xmlns="http://schemas.openxmlformats.org/spreadsheetml/2006/main">
  <c r="B33" i="7" l="1"/>
  <c r="G21" i="5" l="1"/>
  <c r="I4" i="12"/>
  <c r="C32" i="12"/>
  <c r="I32" i="12" s="1"/>
  <c r="K23" i="12"/>
  <c r="E23" i="12"/>
  <c r="D23" i="12" s="1"/>
  <c r="C23" i="12" s="1"/>
  <c r="I23" i="12" s="1"/>
  <c r="E22" i="12"/>
  <c r="C22" i="12" s="1"/>
  <c r="I22" i="12" s="1"/>
  <c r="J15" i="12"/>
  <c r="I15" i="12"/>
  <c r="D15" i="12"/>
  <c r="C15" i="12"/>
  <c r="I12" i="12"/>
  <c r="I13" i="12" s="1"/>
  <c r="I5" i="12"/>
  <c r="B34" i="7"/>
  <c r="B35" i="7" s="1"/>
  <c r="E22" i="6"/>
  <c r="C22" i="6" s="1"/>
  <c r="D31" i="11"/>
  <c r="D9" i="11"/>
  <c r="E9" i="11" s="1"/>
  <c r="C9" i="11" s="1"/>
  <c r="U6" i="8"/>
  <c r="U7" i="8" s="1"/>
  <c r="U8" i="8" s="1"/>
  <c r="U9" i="8" s="1"/>
  <c r="U10" i="8" s="1"/>
  <c r="U11" i="8" s="1"/>
  <c r="U12" i="8" s="1"/>
  <c r="U13" i="8" s="1"/>
  <c r="U14" i="8" s="1"/>
  <c r="U15" i="8" s="1"/>
  <c r="U16" i="8" s="1"/>
  <c r="U17" i="8" s="1"/>
  <c r="U18" i="8" s="1"/>
  <c r="U19" i="8" s="1"/>
  <c r="U20" i="8" s="1"/>
  <c r="U21" i="8" s="1"/>
  <c r="U22" i="8" s="1"/>
  <c r="U23" i="8" s="1"/>
  <c r="U24" i="8" s="1"/>
  <c r="U25" i="8" s="1"/>
  <c r="U26" i="8" s="1"/>
  <c r="U27" i="8" s="1"/>
  <c r="U28" i="8" s="1"/>
  <c r="U29" i="8" s="1"/>
  <c r="U30" i="8" s="1"/>
  <c r="U31" i="8" s="1"/>
  <c r="U32" i="8" s="1"/>
  <c r="U33" i="8" s="1"/>
  <c r="U34" i="8" s="1"/>
  <c r="U35" i="8" s="1"/>
  <c r="U36" i="8" s="1"/>
  <c r="U37" i="8" s="1"/>
  <c r="U38" i="8" s="1"/>
  <c r="U39" i="8" s="1"/>
  <c r="G34" i="7"/>
  <c r="G35" i="7" s="1"/>
  <c r="G36" i="7" s="1"/>
  <c r="G37" i="7" s="1"/>
  <c r="G38" i="7" s="1"/>
  <c r="G39" i="7" s="1"/>
  <c r="AB9" i="5"/>
  <c r="AB8" i="5"/>
  <c r="N20" i="5"/>
  <c r="O15" i="12" l="1"/>
  <c r="P15" i="12" s="1"/>
  <c r="O14" i="12"/>
  <c r="P14" i="12" s="1"/>
  <c r="AB10" i="5"/>
  <c r="G40" i="7"/>
  <c r="G41" i="7" s="1"/>
  <c r="G42" i="7" s="1"/>
  <c r="AB18" i="5" s="1"/>
  <c r="AB15" i="5"/>
  <c r="AB11" i="5"/>
  <c r="AB14" i="5"/>
  <c r="AB13" i="5"/>
  <c r="AB16" i="5"/>
  <c r="AB12" i="5"/>
  <c r="AB17" i="5" l="1"/>
  <c r="AB24" i="5" s="1"/>
  <c r="G79" i="7"/>
  <c r="C32" i="6" s="1"/>
  <c r="D55" i="11" l="1"/>
  <c r="E55" i="11" s="1"/>
  <c r="D54" i="11"/>
  <c r="E54" i="11" s="1"/>
  <c r="D52" i="11"/>
  <c r="E52" i="11" s="1"/>
  <c r="B83" i="11"/>
  <c r="D67" i="11"/>
  <c r="E53" i="11"/>
  <c r="E50" i="11"/>
  <c r="E49" i="11"/>
  <c r="E23" i="6" l="1"/>
  <c r="K23" i="6"/>
  <c r="J15" i="6"/>
  <c r="D15" i="6"/>
  <c r="O15" i="6" l="1"/>
  <c r="P15" i="6" s="1"/>
  <c r="D23" i="6"/>
  <c r="C23" i="6" s="1"/>
  <c r="I23" i="6" s="1"/>
  <c r="J31" i="7"/>
  <c r="C5" i="6" l="1"/>
  <c r="C42" i="11" s="1"/>
  <c r="A48" i="10"/>
  <c r="A32" i="7"/>
  <c r="A33" i="7" s="1"/>
  <c r="A34" i="7" s="1"/>
  <c r="A35" i="7" s="1"/>
  <c r="A36" i="7" s="1"/>
  <c r="A37" i="7" s="1"/>
  <c r="A38" i="7" s="1"/>
  <c r="A39" i="7" s="1"/>
  <c r="A40" i="7" s="1"/>
  <c r="A41" i="7" s="1"/>
  <c r="A42" i="7" s="1"/>
  <c r="A43" i="7" s="1"/>
  <c r="I45" i="7"/>
  <c r="A6" i="5"/>
  <c r="A8" i="5" l="1"/>
  <c r="A9" i="5" s="1"/>
  <c r="A10" i="5" s="1"/>
  <c r="A11" i="5" s="1"/>
  <c r="A12" i="5" s="1"/>
  <c r="A13" i="5" s="1"/>
  <c r="A14" i="5" s="1"/>
  <c r="A15" i="5" s="1"/>
  <c r="A16" i="5" s="1"/>
  <c r="A17" i="5" s="1"/>
  <c r="A18" i="5" s="1"/>
  <c r="A19" i="5" s="1"/>
  <c r="K1" i="5"/>
  <c r="L1" i="5" s="1"/>
  <c r="B50" i="10" l="1"/>
  <c r="C36" i="10"/>
  <c r="D36" i="10" s="1"/>
  <c r="C32" i="10"/>
  <c r="D32" i="10" s="1"/>
  <c r="C34" i="10"/>
  <c r="D34" i="10" s="1"/>
  <c r="C35" i="10"/>
  <c r="D35" i="10" s="1"/>
  <c r="C31" i="10"/>
  <c r="D31" i="10" s="1"/>
  <c r="C18" i="10"/>
  <c r="C19" i="10"/>
  <c r="C20" i="10"/>
  <c r="C21" i="10"/>
  <c r="C22" i="10"/>
  <c r="C23" i="10"/>
  <c r="C24" i="10"/>
  <c r="C25" i="10"/>
  <c r="C26" i="10"/>
  <c r="N6" i="5" l="1"/>
  <c r="Q8" i="5"/>
  <c r="B36" i="7" l="1"/>
  <c r="B37" i="7" s="1"/>
  <c r="B38" i="7" s="1"/>
  <c r="B40" i="7" s="1"/>
  <c r="B41" i="7" s="1"/>
  <c r="I40" i="7"/>
  <c r="O18" i="7"/>
  <c r="M18" i="7"/>
  <c r="M13" i="7"/>
  <c r="M15" i="7"/>
  <c r="M10" i="7"/>
  <c r="M11" i="7" s="1"/>
  <c r="T4" i="8"/>
  <c r="F72" i="7"/>
  <c r="F73" i="7" s="1"/>
  <c r="E72" i="7"/>
  <c r="E73" i="7" s="1"/>
  <c r="O17" i="7"/>
  <c r="D4" i="5"/>
  <c r="B42" i="7" l="1"/>
  <c r="B43" i="7" s="1"/>
  <c r="M14" i="7"/>
  <c r="M16" i="7"/>
  <c r="M12" i="7"/>
  <c r="O19" i="7"/>
  <c r="O1" i="7" s="1"/>
  <c r="B47" i="7"/>
  <c r="F74" i="7"/>
  <c r="E74" i="7" s="1"/>
  <c r="L5" i="5" l="1"/>
  <c r="L4" i="5"/>
  <c r="C6" i="11" s="1"/>
  <c r="L3" i="5"/>
  <c r="D5" i="5"/>
  <c r="D3" i="5"/>
  <c r="D72" i="9"/>
  <c r="E72" i="9" s="1"/>
  <c r="D71" i="9"/>
  <c r="D70" i="9"/>
  <c r="E70" i="9" s="1"/>
  <c r="D69" i="9"/>
  <c r="E69" i="9" s="1"/>
  <c r="D67" i="9"/>
  <c r="E67" i="9" s="1"/>
  <c r="D68" i="9"/>
  <c r="E68" i="9" s="1"/>
  <c r="D66" i="9"/>
  <c r="E66" i="9" s="1"/>
  <c r="B36" i="9"/>
  <c r="D39" i="9" s="1"/>
  <c r="C7" i="9"/>
  <c r="C6" i="9"/>
  <c r="D11" i="9"/>
  <c r="B116" i="9"/>
  <c r="E88" i="9"/>
  <c r="D88" i="9"/>
  <c r="C88" i="9"/>
  <c r="E74" i="9"/>
  <c r="E73" i="9"/>
  <c r="E71" i="9"/>
  <c r="A45" i="11" l="1"/>
  <c r="A2" i="10"/>
  <c r="C12" i="6"/>
  <c r="J17" i="7"/>
  <c r="G20" i="5"/>
  <c r="M21" i="7"/>
  <c r="G45" i="7"/>
  <c r="F47" i="7"/>
  <c r="F48" i="7" s="1"/>
  <c r="F49" i="7" s="1"/>
  <c r="F50" i="7" s="1"/>
  <c r="F51" i="7" s="1"/>
  <c r="F52" i="7" s="1"/>
  <c r="F53" i="7" s="1"/>
  <c r="F54" i="7" s="1"/>
  <c r="F55" i="7" s="1"/>
  <c r="F56" i="7" s="1"/>
  <c r="F57" i="7" s="1"/>
  <c r="F58" i="7" s="1"/>
  <c r="F59" i="7" s="1"/>
  <c r="E47" i="7"/>
  <c r="E48" i="7" s="1"/>
  <c r="E49" i="7" s="1"/>
  <c r="E50" i="7" s="1"/>
  <c r="E51" i="7" s="1"/>
  <c r="E52" i="7" s="1"/>
  <c r="E53" i="7" s="1"/>
  <c r="E54" i="7" s="1"/>
  <c r="E55" i="7" s="1"/>
  <c r="E56" i="7" s="1"/>
  <c r="E57" i="7" s="1"/>
  <c r="E58" i="7" s="1"/>
  <c r="E59" i="7" s="1"/>
  <c r="F67" i="7"/>
  <c r="F68" i="7" s="1"/>
  <c r="C47" i="7" s="1"/>
  <c r="S4" i="8"/>
  <c r="E67" i="7"/>
  <c r="E68" i="7" s="1"/>
  <c r="P7" i="8"/>
  <c r="P8" i="8" s="1"/>
  <c r="P9" i="8" s="1"/>
  <c r="P10" i="8" s="1"/>
  <c r="P11" i="8" s="1"/>
  <c r="P12" i="8" s="1"/>
  <c r="P13" i="8" s="1"/>
  <c r="P14" i="8" s="1"/>
  <c r="P15" i="8" s="1"/>
  <c r="P16" i="8" s="1"/>
  <c r="P17" i="8" s="1"/>
  <c r="P18" i="8" s="1"/>
  <c r="P19" i="8" s="1"/>
  <c r="P20" i="8" s="1"/>
  <c r="P21" i="8" s="1"/>
  <c r="P22" i="8" s="1"/>
  <c r="P23" i="8" s="1"/>
  <c r="P24" i="8" s="1"/>
  <c r="P25" i="8" s="1"/>
  <c r="P26" i="8" s="1"/>
  <c r="P27" i="8" s="1"/>
  <c r="P28" i="8" s="1"/>
  <c r="P29" i="8" s="1"/>
  <c r="P30" i="8" s="1"/>
  <c r="P31" i="8" s="1"/>
  <c r="P32" i="8" s="1"/>
  <c r="P33" i="8" s="1"/>
  <c r="P34" i="8" s="1"/>
  <c r="P35" i="8" s="1"/>
  <c r="P36" i="8" s="1"/>
  <c r="P37" i="8" s="1"/>
  <c r="P38" i="8" s="1"/>
  <c r="P39" i="8" s="1"/>
  <c r="O7" i="8"/>
  <c r="O8" i="8" s="1"/>
  <c r="O9" i="8" s="1"/>
  <c r="O10" i="8" s="1"/>
  <c r="O11" i="8" s="1"/>
  <c r="O12" i="8" s="1"/>
  <c r="O13" i="8" s="1"/>
  <c r="O14" i="8" s="1"/>
  <c r="O15" i="8" s="1"/>
  <c r="O16" i="8" s="1"/>
  <c r="O17" i="8" s="1"/>
  <c r="O18" i="8" s="1"/>
  <c r="O19" i="8" s="1"/>
  <c r="O20" i="8" s="1"/>
  <c r="O21" i="8" s="1"/>
  <c r="O22" i="8" s="1"/>
  <c r="O23" i="8" s="1"/>
  <c r="O24" i="8" s="1"/>
  <c r="O25" i="8" s="1"/>
  <c r="O26" i="8" s="1"/>
  <c r="O27" i="8" s="1"/>
  <c r="O28" i="8" s="1"/>
  <c r="O29" i="8" s="1"/>
  <c r="O30" i="8" s="1"/>
  <c r="O31" i="8" s="1"/>
  <c r="O32" i="8" s="1"/>
  <c r="O33" i="8" s="1"/>
  <c r="O34" i="8" s="1"/>
  <c r="O35" i="8" s="1"/>
  <c r="O36" i="8" s="1"/>
  <c r="O37" i="8" s="1"/>
  <c r="O38" i="8" s="1"/>
  <c r="O39" i="8" s="1"/>
  <c r="N7" i="8"/>
  <c r="N8" i="8" s="1"/>
  <c r="N9" i="8" s="1"/>
  <c r="N10" i="8" s="1"/>
  <c r="N11" i="8" s="1"/>
  <c r="N12" i="8" s="1"/>
  <c r="N13" i="8" s="1"/>
  <c r="N14" i="8" s="1"/>
  <c r="N15" i="8" s="1"/>
  <c r="N16" i="8" s="1"/>
  <c r="N17" i="8" s="1"/>
  <c r="N18" i="8" s="1"/>
  <c r="N19" i="8" s="1"/>
  <c r="N20" i="8" s="1"/>
  <c r="N21" i="8" s="1"/>
  <c r="N22" i="8" s="1"/>
  <c r="N23" i="8" s="1"/>
  <c r="N24" i="8" s="1"/>
  <c r="N25" i="8" s="1"/>
  <c r="N26" i="8" s="1"/>
  <c r="N27" i="8" s="1"/>
  <c r="N28" i="8" s="1"/>
  <c r="N29" i="8" s="1"/>
  <c r="N30" i="8" s="1"/>
  <c r="N31" i="8" s="1"/>
  <c r="N32" i="8" s="1"/>
  <c r="N33" i="8" s="1"/>
  <c r="N34" i="8" s="1"/>
  <c r="N35" i="8" s="1"/>
  <c r="N36" i="8" s="1"/>
  <c r="N37" i="8" s="1"/>
  <c r="N38" i="8" s="1"/>
  <c r="N39" i="8" s="1"/>
  <c r="M7" i="8"/>
  <c r="M8" i="8" s="1"/>
  <c r="M9" i="8" s="1"/>
  <c r="M10" i="8" s="1"/>
  <c r="M11" i="8" s="1"/>
  <c r="M12" i="8" s="1"/>
  <c r="M13" i="8" s="1"/>
  <c r="M14" i="8" s="1"/>
  <c r="M15" i="8" s="1"/>
  <c r="M16" i="8" s="1"/>
  <c r="M17" i="8" s="1"/>
  <c r="M18" i="8" s="1"/>
  <c r="M19" i="8" s="1"/>
  <c r="M20" i="8" s="1"/>
  <c r="M21" i="8" s="1"/>
  <c r="M22" i="8" s="1"/>
  <c r="M23" i="8" s="1"/>
  <c r="M24" i="8" s="1"/>
  <c r="M25" i="8" s="1"/>
  <c r="M26" i="8" s="1"/>
  <c r="M27" i="8" s="1"/>
  <c r="M28" i="8" s="1"/>
  <c r="M29" i="8" s="1"/>
  <c r="M30" i="8" s="1"/>
  <c r="M31" i="8" s="1"/>
  <c r="M32" i="8" s="1"/>
  <c r="M33" i="8" s="1"/>
  <c r="M34" i="8" s="1"/>
  <c r="M35" i="8" s="1"/>
  <c r="M36" i="8" s="1"/>
  <c r="M37" i="8" s="1"/>
  <c r="M38" i="8" s="1"/>
  <c r="M39" i="8" s="1"/>
  <c r="L7" i="8"/>
  <c r="L8" i="8" s="1"/>
  <c r="L9" i="8" s="1"/>
  <c r="L10" i="8" s="1"/>
  <c r="L11" i="8" s="1"/>
  <c r="L12" i="8" s="1"/>
  <c r="L13" i="8" s="1"/>
  <c r="L14" i="8" s="1"/>
  <c r="L15" i="8" s="1"/>
  <c r="L16" i="8" s="1"/>
  <c r="L17" i="8" s="1"/>
  <c r="L18" i="8" s="1"/>
  <c r="L19" i="8" s="1"/>
  <c r="L20" i="8" s="1"/>
  <c r="L21" i="8" s="1"/>
  <c r="L22" i="8" s="1"/>
  <c r="L23" i="8" s="1"/>
  <c r="L24" i="8" s="1"/>
  <c r="L25" i="8" s="1"/>
  <c r="L26" i="8" s="1"/>
  <c r="L27" i="8" s="1"/>
  <c r="L28" i="8" s="1"/>
  <c r="L29" i="8" s="1"/>
  <c r="L30" i="8" s="1"/>
  <c r="L31" i="8" s="1"/>
  <c r="L32" i="8" s="1"/>
  <c r="L33" i="8" s="1"/>
  <c r="L34" i="8" s="1"/>
  <c r="L35" i="8" s="1"/>
  <c r="L36" i="8" s="1"/>
  <c r="L37" i="8" s="1"/>
  <c r="L38" i="8" s="1"/>
  <c r="L39" i="8" s="1"/>
  <c r="K7" i="8"/>
  <c r="K8" i="8" s="1"/>
  <c r="K9" i="8" s="1"/>
  <c r="K10" i="8" s="1"/>
  <c r="K11" i="8" s="1"/>
  <c r="K12" i="8" s="1"/>
  <c r="K13" i="8" s="1"/>
  <c r="K14" i="8" s="1"/>
  <c r="K15" i="8" s="1"/>
  <c r="K16" i="8" s="1"/>
  <c r="K17" i="8" s="1"/>
  <c r="K18" i="8" s="1"/>
  <c r="K19" i="8" s="1"/>
  <c r="K20" i="8" s="1"/>
  <c r="K21" i="8" s="1"/>
  <c r="K22" i="8" s="1"/>
  <c r="K23" i="8" s="1"/>
  <c r="K24" i="8" s="1"/>
  <c r="K25" i="8" s="1"/>
  <c r="K26" i="8" s="1"/>
  <c r="K27" i="8" s="1"/>
  <c r="K28" i="8" s="1"/>
  <c r="K29" i="8" s="1"/>
  <c r="K30" i="8" s="1"/>
  <c r="K31" i="8" s="1"/>
  <c r="K32" i="8" s="1"/>
  <c r="K33" i="8" s="1"/>
  <c r="K34" i="8" s="1"/>
  <c r="K35" i="8" s="1"/>
  <c r="K36" i="8" s="1"/>
  <c r="K37" i="8" s="1"/>
  <c r="K38" i="8" s="1"/>
  <c r="K39" i="8" s="1"/>
  <c r="J7" i="8"/>
  <c r="J8" i="8" s="1"/>
  <c r="J9" i="8" s="1"/>
  <c r="J10" i="8" s="1"/>
  <c r="J11" i="8" s="1"/>
  <c r="J12" i="8" s="1"/>
  <c r="J13" i="8" s="1"/>
  <c r="J14" i="8" s="1"/>
  <c r="J15" i="8" s="1"/>
  <c r="J16" i="8" s="1"/>
  <c r="J17" i="8" s="1"/>
  <c r="J18" i="8" s="1"/>
  <c r="J19" i="8" s="1"/>
  <c r="J20" i="8" s="1"/>
  <c r="J21" i="8" s="1"/>
  <c r="J22" i="8" s="1"/>
  <c r="J23" i="8" s="1"/>
  <c r="J24" i="8" s="1"/>
  <c r="J25" i="8" s="1"/>
  <c r="J26" i="8" s="1"/>
  <c r="J27" i="8" s="1"/>
  <c r="J28" i="8" s="1"/>
  <c r="J29" i="8" s="1"/>
  <c r="J30" i="8" s="1"/>
  <c r="J31" i="8" s="1"/>
  <c r="J32" i="8" s="1"/>
  <c r="J33" i="8" s="1"/>
  <c r="J34" i="8" s="1"/>
  <c r="J35" i="8" s="1"/>
  <c r="J36" i="8" s="1"/>
  <c r="J37" i="8" s="1"/>
  <c r="J38" i="8" s="1"/>
  <c r="J39" i="8" s="1"/>
  <c r="I7" i="8"/>
  <c r="I8" i="8" s="1"/>
  <c r="I9" i="8" s="1"/>
  <c r="I10" i="8" s="1"/>
  <c r="I11" i="8" s="1"/>
  <c r="I12" i="8" s="1"/>
  <c r="I13" i="8" s="1"/>
  <c r="I14" i="8" s="1"/>
  <c r="I15" i="8" s="1"/>
  <c r="I16" i="8" s="1"/>
  <c r="I17" i="8" s="1"/>
  <c r="I18" i="8" s="1"/>
  <c r="I19" i="8" s="1"/>
  <c r="I20" i="8" s="1"/>
  <c r="I21" i="8" s="1"/>
  <c r="I22" i="8" s="1"/>
  <c r="I23" i="8" s="1"/>
  <c r="I24" i="8" s="1"/>
  <c r="I25" i="8" s="1"/>
  <c r="I26" i="8" s="1"/>
  <c r="I27" i="8" s="1"/>
  <c r="I28" i="8" s="1"/>
  <c r="I29" i="8" s="1"/>
  <c r="I30" i="8" s="1"/>
  <c r="I31" i="8" s="1"/>
  <c r="I32" i="8" s="1"/>
  <c r="I33" i="8" s="1"/>
  <c r="I34" i="8" s="1"/>
  <c r="I35" i="8" s="1"/>
  <c r="I36" i="8" s="1"/>
  <c r="I37" i="8" s="1"/>
  <c r="I38" i="8" s="1"/>
  <c r="I39" i="8" s="1"/>
  <c r="H7" i="8"/>
  <c r="H8" i="8" s="1"/>
  <c r="H9" i="8" s="1"/>
  <c r="H10" i="8" s="1"/>
  <c r="H11" i="8" s="1"/>
  <c r="H12" i="8" s="1"/>
  <c r="H13" i="8" s="1"/>
  <c r="H14" i="8" s="1"/>
  <c r="H15" i="8" s="1"/>
  <c r="H16" i="8" s="1"/>
  <c r="H17" i="8" s="1"/>
  <c r="H18" i="8" s="1"/>
  <c r="H19" i="8" s="1"/>
  <c r="H20" i="8" s="1"/>
  <c r="H21" i="8" s="1"/>
  <c r="H22" i="8" s="1"/>
  <c r="H23" i="8" s="1"/>
  <c r="H24" i="8" s="1"/>
  <c r="H25" i="8" s="1"/>
  <c r="H26" i="8" s="1"/>
  <c r="H27" i="8" s="1"/>
  <c r="H28" i="8" s="1"/>
  <c r="H29" i="8" s="1"/>
  <c r="H30" i="8" s="1"/>
  <c r="H31" i="8" s="1"/>
  <c r="H32" i="8" s="1"/>
  <c r="H33" i="8" s="1"/>
  <c r="H34" i="8" s="1"/>
  <c r="H35" i="8" s="1"/>
  <c r="H36" i="8" s="1"/>
  <c r="H37" i="8" s="1"/>
  <c r="H38" i="8" s="1"/>
  <c r="H39" i="8" s="1"/>
  <c r="G7" i="8"/>
  <c r="G8" i="8" s="1"/>
  <c r="G9" i="8" s="1"/>
  <c r="G10" i="8" s="1"/>
  <c r="G11" i="8" s="1"/>
  <c r="G12" i="8" s="1"/>
  <c r="G13" i="8" s="1"/>
  <c r="G14" i="8" s="1"/>
  <c r="G15" i="8" s="1"/>
  <c r="G16" i="8" s="1"/>
  <c r="G17" i="8" s="1"/>
  <c r="G18" i="8" s="1"/>
  <c r="G19" i="8" s="1"/>
  <c r="G20" i="8" s="1"/>
  <c r="G21" i="8" s="1"/>
  <c r="G22" i="8" s="1"/>
  <c r="G23" i="8" s="1"/>
  <c r="G24" i="8" s="1"/>
  <c r="G25" i="8" s="1"/>
  <c r="G26" i="8" s="1"/>
  <c r="G27" i="8" s="1"/>
  <c r="G28" i="8" s="1"/>
  <c r="G29" i="8" s="1"/>
  <c r="G30" i="8" s="1"/>
  <c r="G31" i="8" s="1"/>
  <c r="G32" i="8" s="1"/>
  <c r="G33" i="8" s="1"/>
  <c r="G34" i="8" s="1"/>
  <c r="G35" i="8" s="1"/>
  <c r="G36" i="8" s="1"/>
  <c r="G37" i="8" s="1"/>
  <c r="G38" i="8" s="1"/>
  <c r="G39" i="8" s="1"/>
  <c r="F7" i="8"/>
  <c r="F8" i="8" s="1"/>
  <c r="F9" i="8" s="1"/>
  <c r="F10" i="8" s="1"/>
  <c r="F11" i="8" s="1"/>
  <c r="F12" i="8" s="1"/>
  <c r="F13" i="8" s="1"/>
  <c r="F14" i="8" s="1"/>
  <c r="F15" i="8" s="1"/>
  <c r="F16" i="8" s="1"/>
  <c r="F17" i="8" s="1"/>
  <c r="F18" i="8" s="1"/>
  <c r="F19" i="8" s="1"/>
  <c r="F20" i="8" s="1"/>
  <c r="F21" i="8" s="1"/>
  <c r="F22" i="8" s="1"/>
  <c r="F23" i="8" s="1"/>
  <c r="F24" i="8" s="1"/>
  <c r="F25" i="8" s="1"/>
  <c r="F26" i="8" s="1"/>
  <c r="F27" i="8" s="1"/>
  <c r="F28" i="8" s="1"/>
  <c r="F29" i="8" s="1"/>
  <c r="F30" i="8" s="1"/>
  <c r="F31" i="8" s="1"/>
  <c r="F32" i="8" s="1"/>
  <c r="F33" i="8" s="1"/>
  <c r="F34" i="8" s="1"/>
  <c r="F35" i="8" s="1"/>
  <c r="F36" i="8" s="1"/>
  <c r="F37" i="8" s="1"/>
  <c r="F38" i="8" s="1"/>
  <c r="F39" i="8" s="1"/>
  <c r="E7" i="8"/>
  <c r="E8" i="8" s="1"/>
  <c r="E9" i="8" s="1"/>
  <c r="E10" i="8" s="1"/>
  <c r="E11" i="8" s="1"/>
  <c r="E12" i="8" s="1"/>
  <c r="E13" i="8" s="1"/>
  <c r="E14" i="8" s="1"/>
  <c r="E15" i="8" s="1"/>
  <c r="E16" i="8" s="1"/>
  <c r="E17" i="8" s="1"/>
  <c r="E18" i="8" s="1"/>
  <c r="E19" i="8" s="1"/>
  <c r="E20" i="8" s="1"/>
  <c r="E21" i="8" s="1"/>
  <c r="E22" i="8" s="1"/>
  <c r="E23" i="8" s="1"/>
  <c r="E24" i="8" s="1"/>
  <c r="E25" i="8" s="1"/>
  <c r="E26" i="8" s="1"/>
  <c r="E27" i="8" s="1"/>
  <c r="E28" i="8" s="1"/>
  <c r="E29" i="8" s="1"/>
  <c r="E30" i="8" s="1"/>
  <c r="E31" i="8" s="1"/>
  <c r="E32" i="8" s="1"/>
  <c r="E33" i="8" s="1"/>
  <c r="E34" i="8" s="1"/>
  <c r="E35" i="8" s="1"/>
  <c r="E36" i="8" s="1"/>
  <c r="E37" i="8" s="1"/>
  <c r="E38" i="8" s="1"/>
  <c r="E39" i="8" s="1"/>
  <c r="D7" i="8"/>
  <c r="D8" i="8" s="1"/>
  <c r="D9" i="8" s="1"/>
  <c r="D10" i="8" s="1"/>
  <c r="D11" i="8" s="1"/>
  <c r="D12" i="8" s="1"/>
  <c r="D13" i="8" s="1"/>
  <c r="D14" i="8" s="1"/>
  <c r="D15" i="8" s="1"/>
  <c r="D16" i="8" s="1"/>
  <c r="D17" i="8" s="1"/>
  <c r="D18" i="8" s="1"/>
  <c r="D19" i="8" s="1"/>
  <c r="D20" i="8" s="1"/>
  <c r="D21" i="8" s="1"/>
  <c r="D22" i="8" s="1"/>
  <c r="D23" i="8" s="1"/>
  <c r="D24" i="8" s="1"/>
  <c r="D25" i="8" s="1"/>
  <c r="D26" i="8" s="1"/>
  <c r="D27" i="8" s="1"/>
  <c r="D28" i="8" s="1"/>
  <c r="D29" i="8" s="1"/>
  <c r="D30" i="8" s="1"/>
  <c r="D31" i="8" s="1"/>
  <c r="D32" i="8" s="1"/>
  <c r="D33" i="8" s="1"/>
  <c r="D34" i="8" s="1"/>
  <c r="D35" i="8" s="1"/>
  <c r="D36" i="8" s="1"/>
  <c r="D37" i="8" s="1"/>
  <c r="D38" i="8" s="1"/>
  <c r="D39" i="8" s="1"/>
  <c r="C7" i="8"/>
  <c r="C8" i="8" s="1"/>
  <c r="C9" i="8" s="1"/>
  <c r="C10" i="8" s="1"/>
  <c r="C11" i="8" s="1"/>
  <c r="C12" i="8" s="1"/>
  <c r="C13" i="8" s="1"/>
  <c r="C14" i="8" s="1"/>
  <c r="C15" i="8" s="1"/>
  <c r="C16" i="8" s="1"/>
  <c r="C17" i="8" s="1"/>
  <c r="C18" i="8" s="1"/>
  <c r="C19" i="8" s="1"/>
  <c r="C20" i="8" s="1"/>
  <c r="C21" i="8" s="1"/>
  <c r="C22" i="8" s="1"/>
  <c r="C23" i="8" s="1"/>
  <c r="C24" i="8" s="1"/>
  <c r="C25" i="8" s="1"/>
  <c r="C26" i="8" s="1"/>
  <c r="C27" i="8" s="1"/>
  <c r="C28" i="8" s="1"/>
  <c r="C29" i="8" s="1"/>
  <c r="C30" i="8" s="1"/>
  <c r="C31" i="8" s="1"/>
  <c r="C32" i="8" s="1"/>
  <c r="C33" i="8" s="1"/>
  <c r="C34" i="8" s="1"/>
  <c r="C35" i="8" s="1"/>
  <c r="C36" i="8" s="1"/>
  <c r="C37" i="8" s="1"/>
  <c r="C38" i="8" s="1"/>
  <c r="C39" i="8" s="1"/>
  <c r="B7" i="8"/>
  <c r="B8" i="8" s="1"/>
  <c r="B9" i="8" s="1"/>
  <c r="B10" i="8" s="1"/>
  <c r="B11" i="8" s="1"/>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I12" i="6" l="1"/>
  <c r="I13" i="6" s="1"/>
  <c r="E44" i="10"/>
  <c r="J21" i="7"/>
  <c r="C33" i="10"/>
  <c r="D33" i="10" s="1"/>
  <c r="A78" i="7"/>
  <c r="B81" i="7"/>
  <c r="B50" i="9"/>
  <c r="D52" i="9" s="1"/>
  <c r="F69" i="7"/>
  <c r="E69" i="7" s="1"/>
  <c r="C48" i="7"/>
  <c r="I5" i="6" l="1"/>
  <c r="D13" i="10"/>
  <c r="F62" i="7"/>
  <c r="F63" i="7" s="1"/>
  <c r="E62" i="7" l="1"/>
  <c r="F64" i="7" l="1"/>
  <c r="E63" i="7"/>
  <c r="C15" i="6"/>
  <c r="E64" i="7" l="1"/>
  <c r="H23" i="5"/>
  <c r="E23" i="5"/>
  <c r="C11" i="6" l="1"/>
  <c r="L19" i="7"/>
  <c r="C10" i="6"/>
  <c r="E33" i="7"/>
  <c r="J9" i="5" s="1"/>
  <c r="F33" i="7"/>
  <c r="K9" i="5" s="1"/>
  <c r="K8" i="5"/>
  <c r="J8" i="5"/>
  <c r="F8" i="5"/>
  <c r="D33" i="7"/>
  <c r="C33" i="7"/>
  <c r="C34" i="7" s="1"/>
  <c r="C35" i="7" s="1"/>
  <c r="C36" i="7" s="1"/>
  <c r="C37" i="7" s="1"/>
  <c r="C38" i="7" s="1"/>
  <c r="C39" i="7" s="1"/>
  <c r="C40" i="7" s="1"/>
  <c r="C41" i="7" s="1"/>
  <c r="C42" i="7" s="1"/>
  <c r="C43" i="7" s="1"/>
  <c r="D12" i="10" l="1"/>
  <c r="C41" i="11"/>
  <c r="D43" i="11" s="1"/>
  <c r="F19" i="5"/>
  <c r="F34" i="7"/>
  <c r="K10" i="5" s="1"/>
  <c r="E34" i="7"/>
  <c r="J10" i="5" s="1"/>
  <c r="D23" i="5"/>
  <c r="L20" i="7"/>
  <c r="D24" i="5" s="1"/>
  <c r="F13" i="5"/>
  <c r="F18" i="5"/>
  <c r="F16" i="5"/>
  <c r="F14" i="5"/>
  <c r="F12" i="5"/>
  <c r="F10" i="5"/>
  <c r="F17" i="5"/>
  <c r="F15" i="5"/>
  <c r="F11" i="5"/>
  <c r="F9" i="5"/>
  <c r="D34" i="7"/>
  <c r="F35" i="7" l="1"/>
  <c r="K11" i="5" s="1"/>
  <c r="E35" i="7"/>
  <c r="E36" i="7" s="1"/>
  <c r="E37" i="7" s="1"/>
  <c r="J13" i="5" s="1"/>
  <c r="E38" i="7"/>
  <c r="E39" i="7" s="1"/>
  <c r="E40" i="7" s="1"/>
  <c r="J11" i="5"/>
  <c r="F36" i="7"/>
  <c r="F37" i="7" s="1"/>
  <c r="F22" i="5"/>
  <c r="D35" i="7"/>
  <c r="J12" i="5" l="1"/>
  <c r="J15" i="5"/>
  <c r="K12" i="5"/>
  <c r="J14" i="5"/>
  <c r="E41" i="7"/>
  <c r="J16" i="5"/>
  <c r="K13" i="5"/>
  <c r="F38" i="7"/>
  <c r="D36" i="7"/>
  <c r="E42" i="7" l="1"/>
  <c r="J17" i="5"/>
  <c r="K14" i="5"/>
  <c r="F39" i="7"/>
  <c r="D37" i="7"/>
  <c r="J18" i="5" l="1"/>
  <c r="E43" i="7"/>
  <c r="K15" i="5"/>
  <c r="F40" i="7"/>
  <c r="D38" i="7"/>
  <c r="J19" i="5" l="1"/>
  <c r="J22" i="5"/>
  <c r="K16" i="5"/>
  <c r="F41" i="7"/>
  <c r="D39" i="7"/>
  <c r="F42" i="7" l="1"/>
  <c r="K17" i="5"/>
  <c r="D40" i="7"/>
  <c r="K18" i="5" l="1"/>
  <c r="F43" i="7"/>
  <c r="D41" i="7"/>
  <c r="K19" i="5" l="1"/>
  <c r="K22" i="5" s="1"/>
  <c r="D42" i="7"/>
  <c r="D43" i="7" l="1"/>
  <c r="I15" i="6" l="1"/>
  <c r="D47" i="7" l="1"/>
  <c r="G47" i="7" s="1"/>
  <c r="D48" i="7" l="1"/>
  <c r="B48" i="7" l="1"/>
  <c r="G48" i="7" l="1"/>
  <c r="I47" i="7" l="1"/>
  <c r="B8" i="5" s="1"/>
  <c r="C8" i="5" l="1"/>
  <c r="I8" i="5"/>
  <c r="E8" i="5"/>
  <c r="D8" i="5"/>
  <c r="G8" i="5" l="1"/>
  <c r="C49" i="7"/>
  <c r="H8" i="5" l="1"/>
  <c r="B49" i="7"/>
  <c r="B50" i="7" s="1"/>
  <c r="F75" i="7" s="1"/>
  <c r="D75" i="7" s="1"/>
  <c r="B75" i="7" s="1"/>
  <c r="B51" i="7" s="1"/>
  <c r="B52" i="7" s="1"/>
  <c r="B72" i="7" l="1"/>
  <c r="L21" i="7"/>
  <c r="C6" i="6" l="1"/>
  <c r="D9" i="10" s="1"/>
  <c r="D72" i="7"/>
  <c r="T2" i="8"/>
  <c r="L11" i="7"/>
  <c r="L12" i="7" s="1"/>
  <c r="L13" i="7" s="1"/>
  <c r="D78" i="7" s="1"/>
  <c r="H42" i="8" l="1" a="1"/>
  <c r="H42" i="8" s="1"/>
  <c r="G42" i="8" a="1"/>
  <c r="G42" i="8" s="1"/>
  <c r="B42" i="8" a="1"/>
  <c r="B42" i="8" s="1"/>
  <c r="E42" i="8" a="1"/>
  <c r="E42" i="8" s="1"/>
  <c r="C42" i="8" a="1"/>
  <c r="C42" i="8" s="1"/>
  <c r="K42" i="8" a="1"/>
  <c r="K42" i="8" s="1"/>
  <c r="J42" i="8" a="1"/>
  <c r="J42" i="8" s="1"/>
  <c r="O42" i="8" a="1"/>
  <c r="O42" i="8" s="1"/>
  <c r="N42" i="8" a="1"/>
  <c r="N42" i="8" s="1"/>
  <c r="L42" i="8" a="1"/>
  <c r="L42" i="8" s="1"/>
  <c r="I42" i="8" a="1"/>
  <c r="I42" i="8" s="1"/>
  <c r="M42" i="8" a="1"/>
  <c r="M42" i="8" s="1"/>
  <c r="T5" i="8" s="1"/>
  <c r="B73" i="7" s="1"/>
  <c r="D73" i="7" s="1"/>
  <c r="B74" i="7" s="1"/>
  <c r="F42" i="8" a="1"/>
  <c r="F42" i="8" s="1"/>
  <c r="P42" i="8" a="1"/>
  <c r="P42" i="8" s="1"/>
  <c r="D42" i="8" a="1"/>
  <c r="D42" i="8" s="1"/>
  <c r="D49" i="7"/>
  <c r="B53" i="7" l="1"/>
  <c r="B54" i="7" s="1"/>
  <c r="B55" i="7" s="1"/>
  <c r="B56" i="7" s="1"/>
  <c r="B57" i="7" s="1"/>
  <c r="B58" i="7" s="1"/>
  <c r="B59" i="7" s="1"/>
  <c r="D74" i="7"/>
  <c r="D50" i="7"/>
  <c r="G49" i="7"/>
  <c r="I48" i="7" l="1"/>
  <c r="B9" i="5" s="1"/>
  <c r="D9" i="5" l="1"/>
  <c r="E9" i="5"/>
  <c r="I9" i="5"/>
  <c r="C9" i="5"/>
  <c r="G9" i="5" l="1"/>
  <c r="C50" i="7"/>
  <c r="G50" i="7" s="1"/>
  <c r="H9" i="5" l="1"/>
  <c r="I49" i="7"/>
  <c r="B10" i="5" s="1"/>
  <c r="D10" i="5" l="1"/>
  <c r="C10" i="5"/>
  <c r="N21" i="5" s="1"/>
  <c r="I10" i="5"/>
  <c r="E10" i="5"/>
  <c r="G10" i="5" l="1"/>
  <c r="H10" i="5" l="1"/>
  <c r="B67" i="7"/>
  <c r="S2" i="8" l="1"/>
  <c r="S3" i="8" s="1"/>
  <c r="D67" i="7"/>
  <c r="P43" i="8" l="1" a="1"/>
  <c r="P43" i="8" s="1"/>
  <c r="B43" i="8" a="1"/>
  <c r="B43" i="8" s="1"/>
  <c r="F43" i="8" a="1"/>
  <c r="F43" i="8" s="1"/>
  <c r="I43" i="8" a="1"/>
  <c r="I43" i="8" s="1"/>
  <c r="E43" i="8" a="1"/>
  <c r="E43" i="8" s="1"/>
  <c r="M43" i="8" a="1"/>
  <c r="M43" i="8" s="1"/>
  <c r="J43" i="8" a="1"/>
  <c r="J43" i="8" s="1"/>
  <c r="K43" i="8" a="1"/>
  <c r="K43" i="8" s="1"/>
  <c r="D43" i="8" a="1"/>
  <c r="D43" i="8" s="1"/>
  <c r="C43" i="8" a="1"/>
  <c r="C43" i="8" s="1"/>
  <c r="N43" i="8" a="1"/>
  <c r="N43" i="8" s="1"/>
  <c r="H43" i="8" a="1"/>
  <c r="H43" i="8" s="1"/>
  <c r="G43" i="8" a="1"/>
  <c r="G43" i="8" s="1"/>
  <c r="L43" i="8" a="1"/>
  <c r="L43" i="8" s="1"/>
  <c r="O43" i="8" a="1"/>
  <c r="O43" i="8" s="1"/>
  <c r="S5" i="8" l="1"/>
  <c r="B68" i="7" s="1"/>
  <c r="D68" i="7" s="1"/>
  <c r="B69" i="7" s="1"/>
  <c r="E36" i="10"/>
  <c r="C51" i="7" l="1"/>
  <c r="C52" i="7" s="1"/>
  <c r="C53" i="7" s="1"/>
  <c r="C54" i="7" s="1"/>
  <c r="C55" i="7" s="1"/>
  <c r="C56" i="7" s="1"/>
  <c r="C57" i="7" s="1"/>
  <c r="C58" i="7" s="1"/>
  <c r="C59" i="7" s="1"/>
  <c r="D51" i="7"/>
  <c r="D64" i="7"/>
  <c r="G53" i="7" l="1"/>
  <c r="G57" i="7"/>
  <c r="I57" i="7" s="1"/>
  <c r="B18" i="5" s="1"/>
  <c r="D18" i="5" s="1"/>
  <c r="G51" i="7"/>
  <c r="D52" i="7"/>
  <c r="G58" i="7"/>
  <c r="I50" i="7" l="1"/>
  <c r="B11" i="5" s="1"/>
  <c r="I18" i="5"/>
  <c r="C18" i="5"/>
  <c r="E18" i="5"/>
  <c r="G52" i="7"/>
  <c r="I52" i="7" s="1"/>
  <c r="B13" i="5" s="1"/>
  <c r="D53" i="7"/>
  <c r="D54" i="7" s="1"/>
  <c r="B80" i="7"/>
  <c r="B79" i="7" s="1"/>
  <c r="D11" i="5" l="1"/>
  <c r="I11" i="5"/>
  <c r="C11" i="5"/>
  <c r="E11" i="5"/>
  <c r="I51" i="7"/>
  <c r="B12" i="5" s="1"/>
  <c r="G18" i="5"/>
  <c r="G54" i="7"/>
  <c r="D55" i="7"/>
  <c r="D13" i="5"/>
  <c r="C13" i="5"/>
  <c r="I13" i="5"/>
  <c r="E13" i="5"/>
  <c r="H18" i="5" l="1"/>
  <c r="G11" i="5"/>
  <c r="E12" i="5"/>
  <c r="C12" i="5"/>
  <c r="D12" i="5"/>
  <c r="I12" i="5"/>
  <c r="I53" i="7"/>
  <c r="B14" i="5" s="1"/>
  <c r="G13" i="5"/>
  <c r="G55" i="7"/>
  <c r="I54" i="7" s="1"/>
  <c r="B15" i="5" s="1"/>
  <c r="D56" i="7"/>
  <c r="H11" i="5" l="1"/>
  <c r="H13" i="5"/>
  <c r="G12" i="5"/>
  <c r="I15" i="5"/>
  <c r="E15" i="5"/>
  <c r="C15" i="5"/>
  <c r="D15" i="5"/>
  <c r="C14" i="5"/>
  <c r="E14" i="5"/>
  <c r="I14" i="5"/>
  <c r="D14" i="5"/>
  <c r="G56" i="7"/>
  <c r="I56" i="7" s="1"/>
  <c r="B17" i="5" s="1"/>
  <c r="B62" i="7"/>
  <c r="D57" i="7"/>
  <c r="D58" i="7" s="1"/>
  <c r="D59" i="7" s="1"/>
  <c r="G59" i="7" s="1"/>
  <c r="I58" i="7" s="1"/>
  <c r="B19" i="5" s="1"/>
  <c r="H12" i="5" l="1"/>
  <c r="G15" i="5"/>
  <c r="G14" i="5"/>
  <c r="I55" i="7"/>
  <c r="B16" i="5" s="1"/>
  <c r="D16" i="5" s="1"/>
  <c r="I19" i="5"/>
  <c r="C19" i="5"/>
  <c r="E19" i="5"/>
  <c r="D19" i="5"/>
  <c r="D62" i="7"/>
  <c r="B63" i="7"/>
  <c r="D63" i="7" s="1"/>
  <c r="B64" i="7" s="1"/>
  <c r="E17" i="5"/>
  <c r="C17" i="5"/>
  <c r="I17" i="5"/>
  <c r="D17" i="5"/>
  <c r="H14" i="5" l="1"/>
  <c r="H15" i="5"/>
  <c r="B22" i="5"/>
  <c r="I16" i="5"/>
  <c r="I22" i="5" s="1"/>
  <c r="J2" i="7" s="1"/>
  <c r="E16" i="5"/>
  <c r="E22" i="5" s="1"/>
  <c r="C16" i="5"/>
  <c r="G19" i="5"/>
  <c r="G17" i="5"/>
  <c r="D22" i="5"/>
  <c r="H17" i="5" l="1"/>
  <c r="H19" i="5"/>
  <c r="D65" i="9"/>
  <c r="E65" i="9" s="1"/>
  <c r="C17" i="10"/>
  <c r="D26" i="10" s="1"/>
  <c r="J12" i="7"/>
  <c r="G16" i="5"/>
  <c r="C22" i="5"/>
  <c r="D75" i="9" l="1"/>
  <c r="E75" i="9" s="1"/>
  <c r="E89" i="9" s="1"/>
  <c r="C9" i="6"/>
  <c r="E28" i="10" s="1"/>
  <c r="E37" i="10" s="1"/>
  <c r="D48" i="11"/>
  <c r="E48" i="11" s="1"/>
  <c r="E51" i="11" s="1"/>
  <c r="H16" i="5"/>
  <c r="G22" i="5"/>
  <c r="I4" i="6" s="1"/>
  <c r="D13" i="11" l="1"/>
  <c r="E16" i="11" s="1"/>
  <c r="D51" i="11"/>
  <c r="I14" i="6"/>
  <c r="C4" i="10"/>
  <c r="D7" i="10" s="1"/>
  <c r="C4" i="6"/>
  <c r="H22" i="5"/>
  <c r="L18" i="6" l="1"/>
  <c r="C7" i="6"/>
  <c r="D10" i="10" s="1"/>
  <c r="E11" i="10" s="1"/>
  <c r="E14" i="10" s="1"/>
  <c r="E38" i="10" s="1"/>
  <c r="C13" i="12"/>
  <c r="J16" i="6"/>
  <c r="K16" i="6" s="1"/>
  <c r="A35" i="6"/>
  <c r="A34" i="6" s="1"/>
  <c r="C14" i="6"/>
  <c r="C29" i="9"/>
  <c r="D32" i="9" s="1"/>
  <c r="D41" i="9" s="1"/>
  <c r="C44" i="9" l="1"/>
  <c r="D45" i="9" s="1"/>
  <c r="E46" i="9" s="1"/>
  <c r="E54" i="9" s="1"/>
  <c r="C13" i="6"/>
  <c r="J17" i="6"/>
  <c r="K17" i="6" s="1"/>
  <c r="D16" i="6"/>
  <c r="E16" i="6" s="1"/>
  <c r="E91" i="9"/>
  <c r="I17" i="6" l="1"/>
  <c r="I16" i="6"/>
  <c r="C16" i="6"/>
  <c r="D17" i="6"/>
  <c r="E17" i="6" s="1"/>
  <c r="J18" i="6" l="1"/>
  <c r="K18" i="6" s="1"/>
  <c r="I18" i="6" s="1"/>
  <c r="D18" i="6"/>
  <c r="E18" i="6" s="1"/>
  <c r="C17" i="6"/>
  <c r="C18" i="6" l="1"/>
  <c r="D22" i="6" s="1"/>
  <c r="J19" i="6" l="1"/>
  <c r="K19" i="6" l="1"/>
  <c r="J20" i="6" s="1"/>
  <c r="K20" i="6" s="1"/>
  <c r="O14" i="6"/>
  <c r="P14" i="6" l="1"/>
  <c r="O13" i="6"/>
  <c r="J21" i="6"/>
  <c r="K21" i="6" s="1"/>
  <c r="I21" i="6" s="1"/>
  <c r="I20" i="6"/>
  <c r="I19" i="6"/>
  <c r="I22" i="6"/>
  <c r="C25" i="6"/>
  <c r="C24" i="6"/>
  <c r="L17" i="6" l="1"/>
  <c r="I25" i="6" s="1"/>
  <c r="L19" i="6"/>
  <c r="C27" i="6"/>
  <c r="C28" i="6" s="1"/>
  <c r="I24" i="6"/>
  <c r="J22" i="6"/>
  <c r="K22" i="6" s="1"/>
  <c r="E92" i="9"/>
  <c r="I26" i="6" l="1"/>
  <c r="M24" i="6"/>
  <c r="M22" i="6"/>
  <c r="E69" i="11" s="1"/>
  <c r="E93" i="9"/>
  <c r="C29" i="6"/>
  <c r="P13" i="6" l="1"/>
  <c r="P23" i="5"/>
  <c r="E94" i="9"/>
  <c r="E96" i="9" s="1"/>
  <c r="I27" i="6" l="1"/>
  <c r="I28" i="6" s="1"/>
  <c r="I29" i="6" s="1"/>
  <c r="A31" i="6" s="1"/>
  <c r="P16" i="6"/>
  <c r="E70" i="11"/>
  <c r="I32" i="6"/>
  <c r="M28" i="6" l="1"/>
  <c r="E74" i="11" s="1"/>
  <c r="E39" i="10"/>
  <c r="E40" i="10" s="1"/>
  <c r="E41" i="10" s="1"/>
  <c r="E42" i="10" s="1"/>
  <c r="E43" i="10" s="1"/>
  <c r="E45" i="10" s="1"/>
  <c r="P24" i="5"/>
  <c r="P25" i="5" s="1"/>
  <c r="AB23" i="5" s="1"/>
  <c r="AB19" i="5" s="1"/>
  <c r="AB22" i="5" s="1"/>
  <c r="F32" i="6"/>
  <c r="A11" i="11" s="1"/>
  <c r="C37" i="11" s="1"/>
  <c r="M26" i="6"/>
  <c r="E72" i="11" s="1"/>
  <c r="M25" i="6"/>
  <c r="E71" i="11" s="1"/>
  <c r="P18" i="5" l="1"/>
  <c r="U18" i="5"/>
  <c r="T15" i="5"/>
  <c r="P13" i="5"/>
  <c r="V15" i="5"/>
  <c r="Z18" i="5"/>
  <c r="Z19" i="5" s="1"/>
  <c r="Z22" i="5" s="1"/>
  <c r="U14" i="5"/>
  <c r="R14" i="5"/>
  <c r="X17" i="5"/>
  <c r="S16" i="5"/>
  <c r="Q10" i="5"/>
  <c r="AC10" i="5" s="1"/>
  <c r="L10" i="5" s="1"/>
  <c r="M10" i="5" s="1"/>
  <c r="N10" i="5" s="1"/>
  <c r="R18" i="5"/>
  <c r="Q9" i="5"/>
  <c r="AC9" i="5" s="1"/>
  <c r="L9" i="5" s="1"/>
  <c r="M9" i="5" s="1"/>
  <c r="N9" i="5" s="1"/>
  <c r="P9" i="5"/>
  <c r="X18" i="5"/>
  <c r="U13" i="5"/>
  <c r="R16" i="5"/>
  <c r="P16" i="5"/>
  <c r="R10" i="5"/>
  <c r="S12" i="5"/>
  <c r="W16" i="5"/>
  <c r="Q14" i="5"/>
  <c r="AC14" i="5" s="1"/>
  <c r="L14" i="5" s="1"/>
  <c r="M14" i="5" s="1"/>
  <c r="N14" i="5" s="1"/>
  <c r="S13" i="5"/>
  <c r="V18" i="5"/>
  <c r="T18" i="5"/>
  <c r="P10" i="5"/>
  <c r="R13" i="5"/>
  <c r="T14" i="5"/>
  <c r="Q12" i="5"/>
  <c r="AC12" i="5" s="1"/>
  <c r="L12" i="5" s="1"/>
  <c r="M12" i="5" s="1"/>
  <c r="N12" i="5" s="1"/>
  <c r="S15" i="5"/>
  <c r="Y17" i="5"/>
  <c r="Y18" i="5"/>
  <c r="R15" i="5"/>
  <c r="S17" i="5"/>
  <c r="Q18" i="5"/>
  <c r="AC18" i="5" s="1"/>
  <c r="L18" i="5" s="1"/>
  <c r="M18" i="5" s="1"/>
  <c r="N18" i="5" s="1"/>
  <c r="W18" i="5"/>
  <c r="W17" i="5"/>
  <c r="U16" i="5"/>
  <c r="P11" i="5"/>
  <c r="P12" i="5"/>
  <c r="V14" i="5"/>
  <c r="U17" i="5"/>
  <c r="S14" i="5"/>
  <c r="R12" i="5"/>
  <c r="V16" i="5"/>
  <c r="X16" i="5"/>
  <c r="T16" i="5"/>
  <c r="AA19" i="5"/>
  <c r="AA22" i="5" s="1"/>
  <c r="P15" i="5"/>
  <c r="Q15" i="5"/>
  <c r="AC15" i="5" s="1"/>
  <c r="L15" i="5" s="1"/>
  <c r="M15" i="5" s="1"/>
  <c r="N15" i="5" s="1"/>
  <c r="R11" i="5"/>
  <c r="Q11" i="5"/>
  <c r="AC11" i="5" s="1"/>
  <c r="L11" i="5" s="1"/>
  <c r="M11" i="5" s="1"/>
  <c r="N11" i="5" s="1"/>
  <c r="S18" i="5"/>
  <c r="R17" i="5"/>
  <c r="P8" i="5"/>
  <c r="AC8" i="5" s="1"/>
  <c r="L8" i="5" s="1"/>
  <c r="M8" i="5" s="1"/>
  <c r="N8" i="5" s="1"/>
  <c r="T13" i="5"/>
  <c r="U15" i="5"/>
  <c r="T12" i="5"/>
  <c r="P14" i="5"/>
  <c r="Q13" i="5"/>
  <c r="AC13" i="5" s="1"/>
  <c r="L13" i="5" s="1"/>
  <c r="M13" i="5" s="1"/>
  <c r="N13" i="5" s="1"/>
  <c r="Q16" i="5"/>
  <c r="AC16" i="5" s="1"/>
  <c r="L16" i="5" s="1"/>
  <c r="M16" i="5" s="1"/>
  <c r="N16" i="5" s="1"/>
  <c r="P17" i="5"/>
  <c r="W15" i="5"/>
  <c r="E67" i="11"/>
  <c r="D23" i="11"/>
  <c r="E32" i="11" s="1"/>
  <c r="E33" i="11" s="1"/>
  <c r="D58" i="11"/>
  <c r="E58" i="11" s="1"/>
  <c r="V17" i="5"/>
  <c r="S11" i="5"/>
  <c r="Q17" i="5"/>
  <c r="AC17" i="5" s="1"/>
  <c r="L17" i="5" s="1"/>
  <c r="M17" i="5" s="1"/>
  <c r="N17" i="5" s="1"/>
  <c r="T17" i="5"/>
  <c r="B11" i="11"/>
  <c r="C35" i="11"/>
  <c r="D38" i="11" s="1"/>
  <c r="D57" i="11"/>
  <c r="E57" i="11" s="1"/>
  <c r="E75" i="11"/>
  <c r="E77" i="11" s="1"/>
  <c r="U19" i="5" l="1"/>
  <c r="U22" i="5" s="1"/>
  <c r="V19" i="5"/>
  <c r="V22" i="5" s="1"/>
  <c r="W19" i="5"/>
  <c r="W22" i="5" s="1"/>
  <c r="E68" i="11"/>
  <c r="X19" i="5"/>
  <c r="X22" i="5" s="1"/>
  <c r="S19" i="5"/>
  <c r="S22" i="5" s="1"/>
  <c r="R19" i="5"/>
  <c r="R22" i="5" s="1"/>
  <c r="Y19" i="5"/>
  <c r="Y22" i="5" s="1"/>
  <c r="T19" i="5"/>
  <c r="T22" i="5" s="1"/>
  <c r="P19" i="5"/>
  <c r="P22" i="5" s="1"/>
  <c r="E39" i="11"/>
  <c r="E44" i="11" s="1"/>
  <c r="Q19" i="5"/>
  <c r="Q22" i="5" s="1"/>
  <c r="AC19" i="5" l="1"/>
  <c r="L19" i="5" s="1"/>
  <c r="M19" i="5" s="1"/>
  <c r="M22" i="5" s="1"/>
  <c r="I14" i="12"/>
  <c r="C14" i="12"/>
  <c r="L22" i="5" l="1"/>
  <c r="E78" i="11" s="1"/>
  <c r="E79" i="11" s="1"/>
  <c r="D79" i="11" s="1"/>
  <c r="N19" i="5"/>
  <c r="N22" i="5" s="1"/>
  <c r="D16" i="12"/>
  <c r="E16" i="12" s="1"/>
  <c r="C16" i="12" s="1"/>
  <c r="O13" i="12"/>
  <c r="A35" i="12"/>
  <c r="A34" i="12" s="1"/>
  <c r="L18" i="12"/>
  <c r="J16" i="12"/>
  <c r="K16" i="12" s="1"/>
  <c r="I16" i="12" s="1"/>
  <c r="C25" i="12" l="1"/>
  <c r="J17" i="12"/>
  <c r="K17" i="12" s="1"/>
  <c r="I17" i="12" s="1"/>
  <c r="D17" i="12"/>
  <c r="E17" i="12" s="1"/>
  <c r="C17" i="12" s="1"/>
  <c r="J18" i="12" l="1"/>
  <c r="K18" i="12" s="1"/>
  <c r="I18" i="12" s="1"/>
  <c r="D18" i="12"/>
  <c r="E18" i="12" s="1"/>
  <c r="C18" i="12" s="1"/>
  <c r="P13" i="12" s="1"/>
  <c r="P16" i="12" s="1"/>
  <c r="J19" i="12" l="1"/>
  <c r="K19" i="12" s="1"/>
  <c r="J20" i="12" s="1"/>
  <c r="K20" i="12" s="1"/>
  <c r="I20" i="12" s="1"/>
  <c r="C24" i="12"/>
  <c r="C27" i="12" l="1"/>
  <c r="C28" i="12" s="1"/>
  <c r="C29" i="12" s="1"/>
  <c r="I19" i="12"/>
  <c r="J21" i="12"/>
  <c r="K21" i="12" s="1"/>
  <c r="I21" i="12" l="1"/>
  <c r="I24" i="12" s="1"/>
  <c r="J22" i="12"/>
  <c r="K22" i="12" s="1"/>
  <c r="L17" i="12" l="1"/>
  <c r="M24" i="12"/>
  <c r="L19" i="12" l="1"/>
  <c r="I26" i="12" s="1"/>
  <c r="I25" i="12"/>
  <c r="I27" i="12" l="1"/>
  <c r="I28" i="12" l="1"/>
  <c r="M28" i="12" s="1"/>
  <c r="I29" i="12" l="1"/>
  <c r="A31" i="12" s="1"/>
  <c r="M26" i="12" l="1"/>
  <c r="F32" i="12"/>
  <c r="M2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RANJAN</author>
  </authors>
  <commentList>
    <comment ref="B4" authorId="0" shapeId="0" xr:uid="{00000000-0006-0000-0000-000001000000}">
      <text>
        <r>
          <rPr>
            <b/>
            <sz val="9"/>
            <color indexed="81"/>
            <rFont val="Tahoma"/>
            <family val="2"/>
          </rPr>
          <t>RANJAN:</t>
        </r>
        <r>
          <rPr>
            <sz val="9"/>
            <color indexed="81"/>
            <rFont val="Tahoma"/>
            <family val="2"/>
          </rPr>
          <t xml:space="preserve">
SELECT FROM LIST</t>
        </r>
      </text>
    </comment>
    <comment ref="D9" authorId="0" shapeId="0" xr:uid="{00000000-0006-0000-0000-000002000000}">
      <text>
        <r>
          <rPr>
            <b/>
            <sz val="9"/>
            <color indexed="81"/>
            <rFont val="Tahoma"/>
            <family val="2"/>
          </rPr>
          <t>RANJAN:</t>
        </r>
        <r>
          <rPr>
            <sz val="9"/>
            <color indexed="81"/>
            <rFont val="Tahoma"/>
            <family val="2"/>
          </rPr>
          <t xml:space="preserve">
SELECT FROM LIST</t>
        </r>
      </text>
    </comment>
    <comment ref="A12" authorId="0" shapeId="0" xr:uid="{00000000-0006-0000-0000-000003000000}">
      <text>
        <r>
          <rPr>
            <b/>
            <sz val="9"/>
            <color indexed="81"/>
            <rFont val="Tahoma"/>
            <family val="2"/>
          </rPr>
          <t>RANJAN:</t>
        </r>
        <r>
          <rPr>
            <sz val="9"/>
            <color indexed="81"/>
            <rFont val="Tahoma"/>
            <family val="2"/>
          </rPr>
          <t xml:space="preserve">
MAY ALSO BE USED FOR RESTORATION OF INCREMENT</t>
        </r>
      </text>
    </comment>
    <comment ref="I12" authorId="0" shapeId="0" xr:uid="{00000000-0006-0000-0000-000004000000}">
      <text>
        <r>
          <rPr>
            <b/>
            <sz val="9"/>
            <color indexed="81"/>
            <rFont val="Tahoma"/>
            <family val="2"/>
          </rPr>
          <t>RANJAN:</t>
        </r>
        <r>
          <rPr>
            <sz val="9"/>
            <color indexed="81"/>
            <rFont val="Tahoma"/>
            <family val="2"/>
          </rPr>
          <t xml:space="preserve">
MAX ELIGIBLE AMOUNT = 150,000</t>
        </r>
      </text>
    </comment>
    <comment ref="D13" authorId="0" shapeId="0" xr:uid="{00000000-0006-0000-0000-000005000000}">
      <text>
        <r>
          <rPr>
            <b/>
            <sz val="9"/>
            <color indexed="81"/>
            <rFont val="Tahoma"/>
            <family val="2"/>
          </rPr>
          <t>RANJAN:</t>
        </r>
        <r>
          <rPr>
            <sz val="9"/>
            <color indexed="81"/>
            <rFont val="Tahoma"/>
            <family val="2"/>
          </rPr>
          <t xml:space="preserve">
Date format =
dd-mm-yy</t>
        </r>
      </text>
    </comment>
    <comment ref="D15" authorId="0" shapeId="0" xr:uid="{00000000-0006-0000-0000-000006000000}">
      <text>
        <r>
          <rPr>
            <b/>
            <sz val="9"/>
            <color indexed="81"/>
            <rFont val="Tahoma"/>
            <family val="2"/>
          </rPr>
          <t>RANJAN:</t>
        </r>
        <r>
          <rPr>
            <sz val="9"/>
            <color indexed="81"/>
            <rFont val="Tahoma"/>
            <family val="2"/>
          </rPr>
          <t xml:space="preserve">
Date format =
dd-mm-yy</t>
        </r>
      </text>
    </comment>
    <comment ref="I15" authorId="0" shapeId="0" xr:uid="{00000000-0006-0000-0000-000007000000}">
      <text>
        <r>
          <rPr>
            <b/>
            <sz val="9"/>
            <color indexed="81"/>
            <rFont val="Tahoma"/>
            <family val="2"/>
          </rPr>
          <t>RANJAN:</t>
        </r>
        <r>
          <rPr>
            <sz val="9"/>
            <color indexed="81"/>
            <rFont val="Tahoma"/>
            <family val="2"/>
          </rPr>
          <t xml:space="preserve">
Max amt = 50000</t>
        </r>
      </text>
    </comment>
    <comment ref="D17" authorId="0" shapeId="0" xr:uid="{00000000-0006-0000-0000-000008000000}">
      <text>
        <r>
          <rPr>
            <b/>
            <sz val="9"/>
            <color indexed="81"/>
            <rFont val="Tahoma"/>
            <family val="2"/>
          </rPr>
          <t>RANJAN:</t>
        </r>
        <r>
          <rPr>
            <sz val="9"/>
            <color indexed="81"/>
            <rFont val="Tahoma"/>
            <family val="2"/>
          </rPr>
          <t xml:space="preserve">
SELECT FROM LIST</t>
        </r>
      </text>
    </comment>
    <comment ref="D18" authorId="0" shapeId="0" xr:uid="{00000000-0006-0000-0000-000009000000}">
      <text>
        <r>
          <rPr>
            <b/>
            <sz val="9"/>
            <color indexed="81"/>
            <rFont val="Tahoma"/>
            <family val="2"/>
          </rPr>
          <t>RANJAN:</t>
        </r>
        <r>
          <rPr>
            <sz val="9"/>
            <color indexed="81"/>
            <rFont val="Tahoma"/>
            <family val="2"/>
          </rPr>
          <t xml:space="preserve">
Date format =
dd-mm-yy</t>
        </r>
      </text>
    </comment>
    <comment ref="I18" authorId="0" shapeId="0" xr:uid="{00000000-0006-0000-0000-00000A000000}">
      <text>
        <r>
          <rPr>
            <b/>
            <sz val="9"/>
            <color indexed="81"/>
            <rFont val="Tahoma"/>
            <family val="2"/>
          </rPr>
          <t>RANJAN:</t>
        </r>
        <r>
          <rPr>
            <sz val="9"/>
            <color indexed="81"/>
            <rFont val="Tahoma"/>
            <family val="2"/>
          </rPr>
          <t xml:space="preserve">
MAX = 25000</t>
        </r>
      </text>
    </comment>
    <comment ref="G32" authorId="0" shapeId="0" xr:uid="{FE8CE971-2485-4255-982F-5FF8A8A8331B}">
      <text>
        <r>
          <rPr>
            <b/>
            <sz val="9"/>
            <color indexed="81"/>
            <rFont val="Tahoma"/>
            <family val="2"/>
          </rPr>
          <t>RANJAN:</t>
        </r>
        <r>
          <rPr>
            <sz val="9"/>
            <color indexed="81"/>
            <rFont val="Tahoma"/>
            <family val="2"/>
          </rPr>
          <t xml:space="preserve">
Don’t Pay This Month</t>
        </r>
      </text>
    </comment>
  </commentList>
</comments>
</file>

<file path=xl/sharedStrings.xml><?xml version="1.0" encoding="utf-8"?>
<sst xmlns="http://schemas.openxmlformats.org/spreadsheetml/2006/main" count="684" uniqueCount="487">
  <si>
    <t>DA</t>
  </si>
  <si>
    <t>HRA</t>
  </si>
  <si>
    <t>MA</t>
  </si>
  <si>
    <t>GP</t>
  </si>
  <si>
    <t>EP</t>
  </si>
  <si>
    <t>LEVEL</t>
  </si>
  <si>
    <t>PB</t>
  </si>
  <si>
    <t>PB-1</t>
  </si>
  <si>
    <t>PB-2</t>
  </si>
  <si>
    <t>PB-3</t>
  </si>
  <si>
    <t>PB-4</t>
  </si>
  <si>
    <t>PB-4A</t>
  </si>
  <si>
    <t>IoR</t>
  </si>
  <si>
    <t>MATRIX TABLE</t>
  </si>
  <si>
    <t>N</t>
  </si>
  <si>
    <t>Period</t>
  </si>
  <si>
    <t>March</t>
  </si>
  <si>
    <t>April</t>
  </si>
  <si>
    <t>May</t>
  </si>
  <si>
    <t>PLI</t>
  </si>
  <si>
    <t>June</t>
  </si>
  <si>
    <t>July</t>
  </si>
  <si>
    <t>HBL PRINCIPAL</t>
  </si>
  <si>
    <t>August</t>
  </si>
  <si>
    <t>CHILD TUITION FEE</t>
  </si>
  <si>
    <t>September</t>
  </si>
  <si>
    <t>October</t>
  </si>
  <si>
    <t>November</t>
  </si>
  <si>
    <t>NPS [80CCD(1B)]</t>
  </si>
  <si>
    <t>December</t>
  </si>
  <si>
    <t>INTT ON SAV. A/C (80TTA)</t>
  </si>
  <si>
    <t>MEDICLAIM (80D)</t>
  </si>
  <si>
    <t>DONATION (80G)</t>
  </si>
  <si>
    <t>Total</t>
  </si>
  <si>
    <t>OTHER INCOME</t>
  </si>
  <si>
    <t>January</t>
  </si>
  <si>
    <t>February</t>
  </si>
  <si>
    <t>P Tax</t>
  </si>
  <si>
    <t>P Fund</t>
  </si>
  <si>
    <t>Net Pay</t>
  </si>
  <si>
    <t>TOTAL</t>
  </si>
  <si>
    <t>Gross Pay</t>
  </si>
  <si>
    <t>DEDUCTIONS (UNDER 80C)</t>
  </si>
  <si>
    <t>PROVIDEND FUND</t>
  </si>
  <si>
    <t>LIFE INSURANCE PREMIUM</t>
  </si>
  <si>
    <t>PUBLIC PROVIDEND FUND</t>
  </si>
  <si>
    <t>SUKANYA SAMMRIDDHI Y</t>
  </si>
  <si>
    <t>NATIONAL SAVINGS SCHEME</t>
  </si>
  <si>
    <t>POSTAL LIFE INSURANCE</t>
  </si>
  <si>
    <t>MUTUAL FUND (ELSS)</t>
  </si>
  <si>
    <t>PF</t>
  </si>
  <si>
    <t>LOAN</t>
  </si>
  <si>
    <t>OTHERS (IF ANY)</t>
  </si>
  <si>
    <t>TOTAL DEDUCTION (80C)</t>
  </si>
  <si>
    <t>DEDUCTIONS (CHAPTERVI - 80C)</t>
  </si>
  <si>
    <t>TOTAL (CHAPTERVI - 80C)</t>
  </si>
  <si>
    <t>DEDUCTION (80C)</t>
  </si>
  <si>
    <t>OTHER EXEMPTIONS</t>
  </si>
  <si>
    <t>RELIEF IF ANY</t>
  </si>
  <si>
    <t>ARREAR</t>
  </si>
  <si>
    <t>BONUS</t>
  </si>
  <si>
    <t>Over-drawn</t>
  </si>
  <si>
    <t>Total Deduction</t>
  </si>
  <si>
    <t>Loan Re-covery</t>
  </si>
  <si>
    <t>I Tax Payable</t>
  </si>
  <si>
    <t>SWASTHA SATHI STATUS (Y/N)</t>
  </si>
  <si>
    <t>SLAB AMT</t>
  </si>
  <si>
    <t>DIFF AMT</t>
  </si>
  <si>
    <t>OLD REGIME</t>
  </si>
  <si>
    <t>TAX SLAB 1 (0 - 2.5 LAKH)</t>
  </si>
  <si>
    <t>MONTH</t>
  </si>
  <si>
    <t>PROFESSION TAX</t>
  </si>
  <si>
    <t>STANDARD DEDUCTION</t>
  </si>
  <si>
    <t>CHAPTER VI (OTHER THAN 80C)</t>
  </si>
  <si>
    <t>Less: HBL INTEREST</t>
  </si>
  <si>
    <t>TAX SLAB 2 (&gt;2.5 - 5 LAKH)</t>
  </si>
  <si>
    <t>AR/CA /TICA</t>
  </si>
  <si>
    <t>Basic Pay</t>
  </si>
  <si>
    <t>Employee Name:</t>
  </si>
  <si>
    <t>PAN:</t>
  </si>
  <si>
    <t>Name of the School/Madrasah:</t>
  </si>
  <si>
    <t>Pay Level:</t>
  </si>
  <si>
    <t>OLD BP</t>
  </si>
  <si>
    <t>NEW BP</t>
  </si>
  <si>
    <t>OLD BPD</t>
  </si>
  <si>
    <t>REVISED BP</t>
  </si>
  <si>
    <t>BASIC PAY AS ON MARCH</t>
  </si>
  <si>
    <t>ANNUAL INCREMENT (Y/N)</t>
  </si>
  <si>
    <t>10/20 YEARS INCREMENT (Y/N)</t>
  </si>
  <si>
    <t>NEW BPD</t>
  </si>
  <si>
    <t>DIFF</t>
  </si>
  <si>
    <t>PAY LEVEL (AS PER ROPA 2019)</t>
  </si>
  <si>
    <t>U</t>
  </si>
  <si>
    <t>18 Y</t>
  </si>
  <si>
    <t>18 YEARS INCREMENT (Y/N)</t>
  </si>
  <si>
    <t>DATE OF 18 YRS INCREMENT</t>
  </si>
  <si>
    <t>BP 18</t>
  </si>
  <si>
    <t>OLD LEV</t>
  </si>
  <si>
    <t>P/18Y</t>
  </si>
  <si>
    <t>INCRE</t>
  </si>
  <si>
    <t>CALCULATION OF INCREMENT (18 YRS)</t>
  </si>
  <si>
    <t>DATE OF INCREMENT (10/20)</t>
  </si>
  <si>
    <t>CALCULATION OF INCREMENT (10/20 YRS)</t>
  </si>
  <si>
    <t>BP 10/20</t>
  </si>
  <si>
    <t>BP AN</t>
  </si>
  <si>
    <t>BP NI</t>
  </si>
  <si>
    <t>BP STMT</t>
  </si>
  <si>
    <t>P TAX EXEMPTION (Y/N)</t>
  </si>
  <si>
    <t>INPUT FOR SALARY TABLE</t>
  </si>
  <si>
    <t>RELIEF U/S 10(13A) [HRA EXEMPTION]</t>
  </si>
  <si>
    <t>NAME</t>
  </si>
  <si>
    <t>SCHOOL</t>
  </si>
  <si>
    <t>PAN</t>
  </si>
  <si>
    <t>DESIGN.</t>
  </si>
  <si>
    <t>PERSONAL INFO ENTRY</t>
  </si>
  <si>
    <t>O.D.</t>
  </si>
  <si>
    <t>ARREAR FOR THIS F.Y. (IF ANY)</t>
  </si>
  <si>
    <t>SAVINGS BANK INTEREST</t>
  </si>
  <si>
    <t>I TAX REFUND</t>
  </si>
  <si>
    <t>GROSS INCOME FROM SALARY</t>
  </si>
  <si>
    <t>TOTAL OTHER INCOME</t>
  </si>
  <si>
    <t>Add: INCOME OTHER THAN SALARY</t>
  </si>
  <si>
    <t>Less: RELIEF, IF ANY</t>
  </si>
  <si>
    <t>FORM 16</t>
  </si>
  <si>
    <t>[See rule 31(1)(a)]</t>
  </si>
  <si>
    <t>PART A</t>
  </si>
  <si>
    <t>Certificate under section 203 of the Income-tax Act, 1961 for Tax deducted at source on Salary</t>
  </si>
  <si>
    <t>Name and address of the Employer</t>
  </si>
  <si>
    <t>Name and designation of the Employee</t>
  </si>
  <si>
    <t>PAN of the Deductor</t>
  </si>
  <si>
    <t>TAN of the Deductor</t>
  </si>
  <si>
    <t>PAN of the Employee</t>
  </si>
  <si>
    <t>CIT (TDS)</t>
  </si>
  <si>
    <t>Assessment Year</t>
  </si>
  <si>
    <t>Address:</t>
  </si>
  <si>
    <t>From</t>
  </si>
  <si>
    <t>To</t>
  </si>
  <si>
    <t>City:                                       Pincode:</t>
  </si>
  <si>
    <t>Summary of tax deducted at source</t>
  </si>
  <si>
    <t>Quarter</t>
  </si>
  <si>
    <t>Receipt Numbers of original statements of TDS under sub-section (3) of section 200</t>
  </si>
  <si>
    <t>Amount of tax deducted in respect of the employee</t>
  </si>
  <si>
    <t>Amount of tax deposited/remitted in respect of the employee</t>
  </si>
  <si>
    <t>Quarter 1</t>
  </si>
  <si>
    <t>Quarter 2</t>
  </si>
  <si>
    <t>Quarter 3</t>
  </si>
  <si>
    <t>Quarter 4</t>
  </si>
  <si>
    <t>PART B (Refer Note 1)</t>
  </si>
  <si>
    <t>Details of Salary Paid and any other income and tax deducted</t>
  </si>
  <si>
    <t>Rs.</t>
  </si>
  <si>
    <t>1.  Gross Salary</t>
  </si>
  <si>
    <t>(a) Salary as per provisions contained in sec. 17(1)</t>
  </si>
  <si>
    <t>(b) Value of perquisites u/s 17(2) (as per Form No. 12BB, wherever applicable)</t>
  </si>
  <si>
    <t>(c) Profits in lieu of salary under section 17(3)(as per      Form No. 12BB, wherever applicable</t>
  </si>
  <si>
    <t>(d) Total</t>
  </si>
  <si>
    <t>2. Less: Allowance to the extent exempt U/s 10</t>
  </si>
  <si>
    <t>Allowance</t>
  </si>
  <si>
    <t xml:space="preserve"> </t>
  </si>
  <si>
    <t>3. Balance (1-2)</t>
  </si>
  <si>
    <t>4. Deductions :</t>
  </si>
  <si>
    <t xml:space="preserve">     (a) Entertainment allowance</t>
  </si>
  <si>
    <t xml:space="preserve">     (b) Tax on employment</t>
  </si>
  <si>
    <t>5. Aggregate of 4(a) and (b)</t>
  </si>
  <si>
    <t>6. Income chargebale under the head 'Salaries' (3-5)</t>
  </si>
  <si>
    <t>7. Add: Any other income reported by the employee</t>
  </si>
  <si>
    <t>Income</t>
  </si>
  <si>
    <t>8. Gross Total income (6+7)</t>
  </si>
  <si>
    <t>………..2</t>
  </si>
  <si>
    <t>:: 2 ::</t>
  </si>
  <si>
    <t xml:space="preserve">9. Deductions under Chapter VI A </t>
  </si>
  <si>
    <t xml:space="preserve">     (A) sections 80C, 80CCC and 80CCD</t>
  </si>
  <si>
    <t xml:space="preserve">           (a) Section 80 C</t>
  </si>
  <si>
    <t>Gross Amount</t>
  </si>
  <si>
    <t>Deductible Amount</t>
  </si>
  <si>
    <t xml:space="preserve">                   (i)</t>
  </si>
  <si>
    <t>Provident Fund</t>
  </si>
  <si>
    <t xml:space="preserve">                   (ii)</t>
  </si>
  <si>
    <t>Life Insurance (P)</t>
  </si>
  <si>
    <t xml:space="preserve">                   (iii)</t>
  </si>
  <si>
    <t xml:space="preserve">                   (iv)</t>
  </si>
  <si>
    <t>Public Provident Fund</t>
  </si>
  <si>
    <t xml:space="preserve">                   (v)</t>
  </si>
  <si>
    <t xml:space="preserve">                   (vi)</t>
  </si>
  <si>
    <t xml:space="preserve">                   (vii)</t>
  </si>
  <si>
    <t xml:space="preserve">                   (viii)</t>
  </si>
  <si>
    <t xml:space="preserve">            (b) section 80 CCC</t>
  </si>
  <si>
    <t xml:space="preserve">            (c) section 80 CCD</t>
  </si>
  <si>
    <t xml:space="preserve">    Note: 1. Aggregate amount deductible under section 80 C shall not exceed 1.5 lakh rupees.</t>
  </si>
  <si>
    <t xml:space="preserve">  2. Aggregate amount deductible under the three sections, i.e. 80C,80CCC,80CCD shall not exceed 1.5 lakh rupees.</t>
  </si>
  <si>
    <t>(B) other sections (e.g. 80E,80G etc.) under Chapter VI-A</t>
  </si>
  <si>
    <t>Qualifying Amount</t>
  </si>
  <si>
    <t xml:space="preserve">         (i) section</t>
  </si>
  <si>
    <t xml:space="preserve">         (ii) section</t>
  </si>
  <si>
    <t xml:space="preserve">         (iii) section</t>
  </si>
  <si>
    <t xml:space="preserve">         (iv) section</t>
  </si>
  <si>
    <t xml:space="preserve">         (v) section</t>
  </si>
  <si>
    <t>10. Aggregate of deductible amount under Chapter VI A</t>
  </si>
  <si>
    <t>11. Total Income (8-10)</t>
  </si>
  <si>
    <t>12. Tax on total income</t>
  </si>
  <si>
    <t>13. Education cess @ 3% (on tax computed at S.No. 12)</t>
  </si>
  <si>
    <t>14. Tax Payable (12+13)</t>
  </si>
  <si>
    <t>15. Less: Relief under section 89 (attach details)</t>
  </si>
  <si>
    <t>16. Tax Payable (14-15)</t>
  </si>
  <si>
    <t>Verification</t>
  </si>
  <si>
    <t>I, ................................................................., son / daughter of ......................... working in the capacity of ........................................... (designation) do hereby certify that a sum of Rs. ..................... [Rs. .........................................................] has been deducted and deposited to the credit of the Central Government. I further certify that the information given above is true, complete and correct and is based on the books of account, documents, TDS statements, TDS deposited and other available records.</t>
  </si>
  <si>
    <t>Place</t>
  </si>
  <si>
    <t>BIRBHUM</t>
  </si>
  <si>
    <t>Date</t>
  </si>
  <si>
    <t>Signature of person responsible for deduction of tax</t>
  </si>
  <si>
    <t xml:space="preserve">Designation: </t>
  </si>
  <si>
    <t xml:space="preserve">Full Name: </t>
  </si>
  <si>
    <t>DETAILS OF TAX DEDUCTED AND DEPOSITED IN CENTRAL GOVT. ACCOUNT THROUGH CHALLAN</t>
  </si>
  <si>
    <t>(The Employer to provide payment wise details of tax deducted and deposited with respect to the employee)</t>
  </si>
  <si>
    <t>Sl. No.</t>
  </si>
  <si>
    <t>Tax Deposited in respect of the employee (Rs.)</t>
  </si>
  <si>
    <t>Challan Identification Number (CIN)</t>
  </si>
  <si>
    <t>BSR Code of the Bank Branch</t>
  </si>
  <si>
    <t>Date on which tax deposited</t>
  </si>
  <si>
    <t>Challan Serial Number</t>
  </si>
  <si>
    <t>2021-2022</t>
  </si>
  <si>
    <t>SSA</t>
  </si>
  <si>
    <t>Tuition fees</t>
  </si>
  <si>
    <t>HBL Principal</t>
  </si>
  <si>
    <t>others</t>
  </si>
  <si>
    <t>80D - MEDICLAIM</t>
  </si>
  <si>
    <t>Y</t>
  </si>
  <si>
    <t>HBL INTEREST FOR THIS F.Y.</t>
  </si>
  <si>
    <t>PAY LEVEL - 1</t>
  </si>
  <si>
    <t>PAY LEVEL - 2</t>
  </si>
  <si>
    <t>PAY LEVEL - 3</t>
  </si>
  <si>
    <t>PAY LEVEL - 4</t>
  </si>
  <si>
    <t>PAY LEVEL - 5</t>
  </si>
  <si>
    <t>PAY LEVEL - 6</t>
  </si>
  <si>
    <t>PAY LEVEL - 7</t>
  </si>
  <si>
    <t>PAY LEVEL - 8</t>
  </si>
  <si>
    <t>PAY LEVEL - 9</t>
  </si>
  <si>
    <t>PAY LEVEL - 10</t>
  </si>
  <si>
    <t>PAY LEVEL - 11</t>
  </si>
  <si>
    <t>PAY LEVEL - 12</t>
  </si>
  <si>
    <t>PAY LEVEL - 14</t>
  </si>
  <si>
    <t>PAY LEVEL - 15</t>
  </si>
  <si>
    <t>PAY LEVEL - 16</t>
  </si>
  <si>
    <t>HEADMASTER</t>
  </si>
  <si>
    <t>HEADMISTRESS</t>
  </si>
  <si>
    <t>ASSISTANT HEADMISTRESS</t>
  </si>
  <si>
    <t>ASSISTANT HEADMASTER</t>
  </si>
  <si>
    <t>TEACHER-IN-CHARGE</t>
  </si>
  <si>
    <t>AHM-CUM-TIC</t>
  </si>
  <si>
    <t>ASSISTANT TEACHER</t>
  </si>
  <si>
    <t>HEAD TEACHER</t>
  </si>
  <si>
    <t>LIBRARIAN</t>
  </si>
  <si>
    <t>CLERK</t>
  </si>
  <si>
    <t>GR D</t>
  </si>
  <si>
    <t>PEON</t>
  </si>
  <si>
    <t>DESIGNATION</t>
  </si>
  <si>
    <t>H.RENT PAID/M (FOR HRA EXMPN)</t>
  </si>
  <si>
    <t>TOTAL TAX PAYABLE</t>
  </si>
  <si>
    <t>Employee Code:</t>
  </si>
  <si>
    <t>EMP. CODE</t>
  </si>
  <si>
    <t>AR/CA/T</t>
  </si>
  <si>
    <t>ALL TOTAL DEDUCTION/EXEMPTION</t>
  </si>
  <si>
    <t>DATE OF UPGRADATION</t>
  </si>
  <si>
    <t>UG2HL</t>
  </si>
  <si>
    <t>UPGRADATION AVAILED (Y/N)</t>
  </si>
  <si>
    <t>CALCULATION OF INCREMENT (UPGRADATION)</t>
  </si>
  <si>
    <t>AI BP</t>
  </si>
  <si>
    <t>JUN BP</t>
  </si>
  <si>
    <t>HEALTH &amp; EDUCATIONAL CESS @4%</t>
  </si>
  <si>
    <t>CALCULATION CONDITIONS</t>
  </si>
  <si>
    <t>NO INCREMENT</t>
  </si>
  <si>
    <t>REMARK</t>
  </si>
  <si>
    <t>REMARK-2</t>
  </si>
  <si>
    <t>REMARK-1</t>
  </si>
  <si>
    <t>BONUS FOR THIS F.Y. (IF ANY)</t>
  </si>
  <si>
    <t>10/20 YEARS INCREMENT</t>
  </si>
  <si>
    <t>18 YEARS INCREMENT</t>
  </si>
  <si>
    <t>UPGRADATION TO HIGHER LEVEL</t>
  </si>
  <si>
    <t>ANNUAL INCREMENT IN JULY</t>
  </si>
  <si>
    <t>SOFTWARE BY, WETHETEACHERS.IN</t>
  </si>
  <si>
    <t>N.B.: CLICK/TAP ONLY ON YELLOW SHADED CELLS TO ENTER DATA</t>
  </si>
  <si>
    <t>Designation:</t>
  </si>
  <si>
    <t>MARCH</t>
  </si>
  <si>
    <t>JULY</t>
  </si>
  <si>
    <t xml:space="preserve">SPOUSE HRA FROM </t>
  </si>
  <si>
    <t>DISTRIBUTE I. TAX (IN MONTHS)</t>
  </si>
  <si>
    <t>INPUT CAL</t>
  </si>
  <si>
    <t>HIGHER EDN. LOAN INTT (80E)</t>
  </si>
  <si>
    <t>OTHERS (80U etc)</t>
  </si>
  <si>
    <t>Amount Paid</t>
  </si>
  <si>
    <t>Life Insurance Premium</t>
  </si>
  <si>
    <t>Sukanya Sammriddhi Yojana</t>
  </si>
  <si>
    <t>National Savings Scheme</t>
  </si>
  <si>
    <t>Postal Life Insurance</t>
  </si>
  <si>
    <t>Child Tuition Fee</t>
  </si>
  <si>
    <t>Mutual Fund (ELSS)</t>
  </si>
  <si>
    <t>Others (if any)</t>
  </si>
  <si>
    <t>Higher Edn. Loan Intt.</t>
  </si>
  <si>
    <t>Intt. On Savings A/c</t>
  </si>
  <si>
    <t>Mediclaim</t>
  </si>
  <si>
    <t>Donation</t>
  </si>
  <si>
    <t>National Pension Scheme</t>
  </si>
  <si>
    <t xml:space="preserve">    (d) Total</t>
  </si>
  <si>
    <t xml:space="preserve">    (b) Value of perquisites u/s 17(2)</t>
  </si>
  <si>
    <t>3. Less: Allowance to the extent exempt U/s 10 (13A)</t>
  </si>
  <si>
    <t>PART B (Details of Salary Paid and any other income and tax deducted)</t>
  </si>
  <si>
    <t>2. Less: Standard deduction U/s 16(i)</t>
  </si>
  <si>
    <t>4. Less : Tax on Employment or P. Tax U/s 16(iii)</t>
  </si>
  <si>
    <t>5. Income chargebale under the head 'Salaries' (1d-2-3-4)</t>
  </si>
  <si>
    <t>6. Less: Interest Paid on House Building Loan</t>
  </si>
  <si>
    <t>8. Gross Total income (5-6+7)</t>
  </si>
  <si>
    <t>Others (80U etc)</t>
  </si>
  <si>
    <t>Place:</t>
  </si>
  <si>
    <t>Date:</t>
  </si>
  <si>
    <t xml:space="preserve">     (A) (a) Sections 80C</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</si>
  <si>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</si>
  <si>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</si>
  <si>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</si>
  <si>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</si>
  <si>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</si>
  <si>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</si>
  <si>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</si>
  <si>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</si>
  <si>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</si>
  <si>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</si>
  <si>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            (b) Section 80 CCC</t>
  </si>
  <si>
    <t xml:space="preserve">            (c) Section 80 CCD</t>
  </si>
  <si>
    <t xml:space="preserve">    (c) Profits in lieu of salary under Section 17(3)</t>
  </si>
  <si>
    <t xml:space="preserve">             Note: Aggregate amount deductible under Sections 80C,80CCC,80CCD shall not exceed 1.5 lakh rupees.</t>
  </si>
  <si>
    <t xml:space="preserve">    (B) other Sections (e.g. 80E,80G etc.) under Chapter VI-A</t>
  </si>
  <si>
    <t xml:space="preserve">         (i) Section 80CCD(1B)</t>
  </si>
  <si>
    <t xml:space="preserve">         (ii) Section (80E)</t>
  </si>
  <si>
    <t xml:space="preserve">         (iii) Section (80TTA)</t>
  </si>
  <si>
    <t xml:space="preserve">         (iv) Section (80D)</t>
  </si>
  <si>
    <t xml:space="preserve">         (v) Section (80G)</t>
  </si>
  <si>
    <t xml:space="preserve">         (vi) Section (80U)</t>
  </si>
  <si>
    <t xml:space="preserve">    (a) Salary as per provisions contained in Section 17(1)</t>
  </si>
  <si>
    <t>MATRON</t>
  </si>
  <si>
    <t>LAB ATTENDANT</t>
  </si>
  <si>
    <t>SALARY STATEMENT FOR THE FINANCIAL YEAR</t>
  </si>
  <si>
    <t>FINAL BP</t>
  </si>
  <si>
    <t>PAY LEVEL AFTER UPGRADE</t>
  </si>
  <si>
    <t>CAPITAL GAINS</t>
  </si>
  <si>
    <t>SHORT TERM CAPITAL GAIN TAX</t>
  </si>
  <si>
    <t>BANK DEPOSIT INTEREST</t>
  </si>
  <si>
    <t>LTCG (ABOVE RS 1 LAKH) TAX</t>
  </si>
  <si>
    <t>EXAMINERSHIP / DIVIDEND</t>
  </si>
  <si>
    <t>STCG</t>
  </si>
  <si>
    <t>LTCG</t>
  </si>
  <si>
    <t>Nature</t>
  </si>
  <si>
    <t>Income Amt</t>
  </si>
  <si>
    <t>Tax</t>
  </si>
  <si>
    <t>TAXABLE INCOME</t>
  </si>
  <si>
    <t>REBATE U/S 87A (Nil on LTCG Tax)</t>
  </si>
  <si>
    <t>FOR INFORMATION</t>
  </si>
  <si>
    <t>Salary (excl CG)</t>
  </si>
  <si>
    <t>13. Less: Rebate U/s 87A</t>
  </si>
  <si>
    <t>(Max 12500 upto T.I. 5 Lakh)</t>
  </si>
  <si>
    <t>14. Tax Payable (12-13)</t>
  </si>
  <si>
    <t>17. Less: Relief under Section 89</t>
  </si>
  <si>
    <t>16. Total Tax Payable (14+15)</t>
  </si>
  <si>
    <t>15. Health &amp; Education cess @ 4% on Tax (14)</t>
  </si>
  <si>
    <t>18. Balance of Tax Payable (16-17)</t>
  </si>
  <si>
    <r>
      <rPr>
        <b/>
        <sz val="11"/>
        <rFont val="Calibri"/>
        <family val="2"/>
        <scheme val="minor"/>
      </rPr>
      <t xml:space="preserve">FORM NO. 16
</t>
    </r>
    <r>
      <rPr>
        <sz val="11"/>
        <rFont val="Calibri"/>
        <family val="2"/>
        <scheme val="minor"/>
      </rPr>
      <t>[See rule 31(1)(a)]</t>
    </r>
  </si>
  <si>
    <t>PART - B
Certificate under section 203 of the Income-tax Act, 1961 for tax deducted at source on salary</t>
  </si>
  <si>
    <t>Name and address of the Employee</t>
  </si>
  <si>
    <t>PAN of the Deductor                                       TAN of the Deductor</t>
  </si>
  <si>
    <t xml:space="preserve">CIT (TDS)
</t>
  </si>
  <si>
    <t>Gross Salary</t>
  </si>
  <si>
    <r>
      <rPr>
        <sz val="11"/>
        <rFont val="Calibri"/>
        <family val="2"/>
        <scheme val="minor"/>
      </rPr>
      <t>(a)</t>
    </r>
  </si>
  <si>
    <t>Salary as per provisions contained in section 17(1)</t>
  </si>
  <si>
    <r>
      <rPr>
        <sz val="11"/>
        <rFont val="Calibri"/>
        <family val="2"/>
        <scheme val="minor"/>
      </rPr>
      <t>(b)</t>
    </r>
  </si>
  <si>
    <t>Value of perquisites under section 17(2) (as per Form No. 12BA, wherever applicable)</t>
  </si>
  <si>
    <r>
      <rPr>
        <sz val="11"/>
        <rFont val="Calibri"/>
        <family val="2"/>
        <scheme val="minor"/>
      </rPr>
      <t>(c)</t>
    </r>
  </si>
  <si>
    <t>Profits in lieu of salary under section 17(3) (as per Form No. 12BA, wherever applicable)</t>
  </si>
  <si>
    <r>
      <rPr>
        <sz val="11"/>
        <rFont val="Calibri"/>
        <family val="2"/>
        <scheme val="minor"/>
      </rPr>
      <t>(d)</t>
    </r>
  </si>
  <si>
    <r>
      <rPr>
        <sz val="11"/>
        <rFont val="Calibri"/>
        <family val="2"/>
        <scheme val="minor"/>
      </rPr>
      <t>(e)</t>
    </r>
  </si>
  <si>
    <t>Reported total amount of salary received from other employer(s)</t>
  </si>
  <si>
    <t>Less: Allowances to the extent exempt under section 10</t>
  </si>
  <si>
    <t>Travel concession or assistance under section 10(5)</t>
  </si>
  <si>
    <t>Death-cum-retirement gratuity under section 10(10)</t>
  </si>
  <si>
    <t>Commuted value of pension under section 10(10A)</t>
  </si>
  <si>
    <t>Cash equivalent of leave salary encashment under section 10(10AA)</t>
  </si>
  <si>
    <t>House rent allowance under section 10(13A)</t>
  </si>
  <si>
    <r>
      <rPr>
        <sz val="11"/>
        <rFont val="Calibri"/>
        <family val="2"/>
        <scheme val="minor"/>
      </rPr>
      <t>(f)</t>
    </r>
  </si>
  <si>
    <t>Amount of any other exemption under section 10</t>
  </si>
  <si>
    <t>clause …</t>
  </si>
  <si>
    <t>…</t>
  </si>
  <si>
    <r>
      <rPr>
        <sz val="11"/>
        <rFont val="Calibri"/>
        <family val="2"/>
        <scheme val="minor"/>
      </rPr>
      <t>(g)</t>
    </r>
  </si>
  <si>
    <t>Total amount of any other exemption under section 10</t>
  </si>
  <si>
    <r>
      <rPr>
        <sz val="11"/>
        <rFont val="Calibri"/>
        <family val="2"/>
        <scheme val="minor"/>
      </rPr>
      <t>(h)</t>
    </r>
  </si>
  <si>
    <t>Total amount of exemption claimed under section 10 [2(a)+2(b)+2(c)+2(d)+2(e)+2(g)]</t>
  </si>
  <si>
    <t>Total amount of salary received from current employer [1(d)-2(h)]</t>
  </si>
  <si>
    <t>Less: Deductions under section 16</t>
  </si>
  <si>
    <t>(a)</t>
  </si>
  <si>
    <t>Standard deduction under section 16(ia)</t>
  </si>
  <si>
    <t>(b)</t>
  </si>
  <si>
    <t>Entertainment allowance under section 16(ii)</t>
  </si>
  <si>
    <t>(c)</t>
  </si>
  <si>
    <t>Tax on employment under section 16(iii)</t>
  </si>
  <si>
    <t>Total amount of deductions under section 16 [4(a)+4(b)+4(c)]</t>
  </si>
  <si>
    <t>Income chargeable under the head "Salaries" [(3+1(e)-5]</t>
  </si>
  <si>
    <t>Add: Any other income reported by the employee under as per section 192 (2B)</t>
  </si>
  <si>
    <t>Income (or admissible loss) from house property reported by employee offered for TDS</t>
  </si>
  <si>
    <t>Income under the head Other Sources offered for TDS</t>
  </si>
  <si>
    <t>Total amount of other income reported by the employee [7(a)+7(b)]</t>
  </si>
  <si>
    <t>Gross total income (6+8)</t>
  </si>
  <si>
    <t>Deductions under Chapter VI-A</t>
  </si>
  <si>
    <t>Deduction in respect of life insurance premia, contributions to provident fund etc. under section 80C</t>
  </si>
  <si>
    <t>Deduction in respect of contribution to certain pension funds under section 80CCC</t>
  </si>
  <si>
    <t>Deduction in respect of contribution by taxpayer to pension scheme under section 80CCD (1)</t>
  </si>
  <si>
    <t>Total deduction under section 80C, 80CCC and 80CCD(1)</t>
  </si>
  <si>
    <t>Deductions in respect of amount paid/deposited to notified pension scheme under section 80CCD (1B)</t>
  </si>
  <si>
    <t>Deduction in respect of contribution by Employer to pension scheme under section 80CCD (2)</t>
  </si>
  <si>
    <t>(g)</t>
  </si>
  <si>
    <t>Deduction in respect of health insurance premia under section 80D</t>
  </si>
  <si>
    <t>Deduction in respect of interest on loan taken for higher education under section 80E</t>
  </si>
  <si>
    <r>
      <rPr>
        <sz val="11"/>
        <rFont val="Calibri"/>
        <family val="2"/>
        <scheme val="minor"/>
      </rPr>
      <t>(i)</t>
    </r>
  </si>
  <si>
    <t>Total Deduction in respect of donations to certain funds, charitable institutions, etc. under section 80G</t>
  </si>
  <si>
    <r>
      <rPr>
        <sz val="11"/>
        <rFont val="Calibri"/>
        <family val="2"/>
        <scheme val="minor"/>
      </rPr>
      <t>(j)</t>
    </r>
  </si>
  <si>
    <t>Deduction in respect of interest on deposits in savings account under section 80TTA</t>
  </si>
  <si>
    <r>
      <rPr>
        <sz val="11"/>
        <rFont val="Calibri"/>
        <family val="2"/>
        <scheme val="minor"/>
      </rPr>
      <t>(k)</t>
    </r>
  </si>
  <si>
    <t>Amount deductible under any other provision(s) of Chapter VI-A</t>
  </si>
  <si>
    <t>section …</t>
  </si>
  <si>
    <r>
      <rPr>
        <sz val="11"/>
        <rFont val="Calibri"/>
        <family val="2"/>
        <scheme val="minor"/>
      </rPr>
      <t>(l)</t>
    </r>
  </si>
  <si>
    <t>Total of amount deductible under any other provision(s) of Chapter VI-A</t>
  </si>
  <si>
    <r>
      <rPr>
        <sz val="11"/>
        <rFont val="Calibri"/>
        <family val="2"/>
        <scheme val="minor"/>
      </rPr>
      <t>Aggregate of deductible amount under Chapter VI-A
[10(a)+10(b)+10(c)+10(d)+10(e)+10(f)+10(g)+ 10(h)+10(i) 10(j)+10(l)]</t>
    </r>
  </si>
  <si>
    <t>Total taxable income (9-11)</t>
  </si>
  <si>
    <t>Tax on total income</t>
  </si>
  <si>
    <t>Rebate under section 87A, if applicable</t>
  </si>
  <si>
    <t>Surcharge, wherever applicable</t>
  </si>
  <si>
    <t>Health and education cess</t>
  </si>
  <si>
    <t>Less: Relief under section 89 (attach details)</t>
  </si>
  <si>
    <t>Net tax payable (17-18)</t>
  </si>
  <si>
    <t>Total TDS Deducted</t>
  </si>
  <si>
    <t>(Signature of person responsible for deduction of tax)</t>
  </si>
  <si>
    <r>
      <rPr>
        <b/>
        <sz val="11"/>
        <rFont val="Calibri"/>
        <family val="2"/>
        <scheme val="minor"/>
      </rPr>
      <t xml:space="preserve">Notes:
</t>
    </r>
    <r>
      <rPr>
        <sz val="11"/>
        <rFont val="Calibri"/>
        <family val="2"/>
        <scheme val="minor"/>
      </rPr>
      <t>1.  Government deductors to fill information in item I of Part A if tax is paid without production of an income-tax challan and in item II of Part A if tax is paid accompanied by an income-tax challan.
2.  Non-Government deductors to fill information in item II of Part A.
3.  The  deductor shall  furnish the  address  of  the  Commissioner  of  Income-tax  (TDS)  having jurisdiction as regards TDS statements of the assessee.
4.  If an assessee is employed under one employer only during the year, certificate in Form No. 16 issued for the quarter ending on 31st March of the financial year shall contain the details of tax deducted and deposited for all the quarters of the financial year.
5.  (i) If an assessee is employed under more than one employer during the year, each of the employers shall issue Part A of the certificate in Form No. 16 pertaining to the period for which such assessee was employed with each of the employers.
(ii) Part B (Annexure) of the certificate in Form No.16 may be issued by each of the employers or the last employer at the option of the assessee.
6.  In Part A, in items I and II, in the column for tax deposited in respect of deductee, furnish total amount of tax, surcharge and health and education cess.
7.  Deductor  shall  duly  fill  details,  where  available,  in  item  numbers  2(f)  and  10(k)  before furnishing of Part B (Annexure) to the employee.]</t>
    </r>
  </si>
  <si>
    <t>TDS</t>
  </si>
  <si>
    <t>TDS Paid</t>
  </si>
  <si>
    <t>TDS Paid/
Payable</t>
  </si>
  <si>
    <t>Shortfall / Excess Deduction of Tax (more than Rs. 100)</t>
  </si>
  <si>
    <t>Upto Jan</t>
  </si>
  <si>
    <t>total tds</t>
  </si>
  <si>
    <t>TDS Payable</t>
  </si>
  <si>
    <t>Cal</t>
  </si>
  <si>
    <t>PANNOTREQD                                                     CALO00000A</t>
  </si>
  <si>
    <t>v 1.0</t>
  </si>
  <si>
    <t xml:space="preserve">Full Name : </t>
  </si>
  <si>
    <t xml:space="preserve">Place: </t>
  </si>
  <si>
    <t>I, ......................................, son/daughter of .......................................... working in the capacity of  SECRETARY (designation) do hereby certify that the information given above is true, complete and correct and is based on the books of account, documents, TDS statements, and other available records.</t>
  </si>
  <si>
    <t>Period (F.Y.)</t>
  </si>
  <si>
    <t>TDS PAID UPTO JANUARY</t>
  </si>
  <si>
    <t>TDS TO PAYABLE IN FEBRUARY</t>
  </si>
  <si>
    <t>BEST</t>
  </si>
  <si>
    <t>TAX SLAB 3 (&gt;5 - 10 LAKH)</t>
  </si>
  <si>
    <t>TAX SLAB 4 (ABOVE 10 LAKH)</t>
  </si>
  <si>
    <t>NEW REGIME [115BAC(1A)]</t>
  </si>
  <si>
    <t>LTCG (ABOVE RS 1.25 LAKH) TAX</t>
  </si>
  <si>
    <t>STCG (Taxable @20%)</t>
  </si>
  <si>
    <t>LTCG (Taxable @12.5%  &gt;1.25L)</t>
  </si>
  <si>
    <t>CG Tax cal is provisional</t>
  </si>
  <si>
    <t>PUT STARTING DATE OF THE F.Y. (e.g., 01-04-2025)</t>
  </si>
  <si>
    <t>VERSION 3.3</t>
  </si>
  <si>
    <t>VERSION = 3.4</t>
  </si>
  <si>
    <t>TAX SLAB 1 (0 - 4 LAKH)</t>
  </si>
  <si>
    <t>TAX SLAB 2 (&gt;4 - 8 LAKH)</t>
  </si>
  <si>
    <t>TAX SLAB 3 (&gt;8 - 12 LAKH)</t>
  </si>
  <si>
    <t>TAX SLAB 4 (&gt;12 - 16 LAKH)</t>
  </si>
  <si>
    <t>TAX SLAB 5 (&gt;16 - 20 LAKH)</t>
  </si>
  <si>
    <t>TAX SLAB 6 (&gt;20 - 24 LAKH)</t>
  </si>
  <si>
    <t>TAX SLAB 7 (ABOVE 24 LAKH)</t>
  </si>
  <si>
    <t>REBATE U/S 87A (Nil on LTCG Tax) (4-12L)</t>
  </si>
  <si>
    <t>MARGINAL RELIEF (NOT APPLICABLE)</t>
  </si>
  <si>
    <t>87A limit</t>
  </si>
  <si>
    <t>MARGINAL RELIEF (12L - 1270587.00)</t>
  </si>
  <si>
    <t>TAX PAYABLE</t>
  </si>
  <si>
    <t>INCOME TAX CALCULATED</t>
  </si>
  <si>
    <t>MR CALC</t>
  </si>
  <si>
    <t>CALCULATION OF INCOME TAX FOR THE F.Y. 2025-26</t>
  </si>
  <si>
    <t>v 2.3</t>
  </si>
  <si>
    <t>Marginal Relief U/S 115BAC(1A)</t>
  </si>
  <si>
    <t>Tax payable (13-14-15+16+17)</t>
  </si>
  <si>
    <t>V 2.1</t>
  </si>
  <si>
    <t>Tax Payable (excl. Ed. Cess)</t>
  </si>
  <si>
    <t>Final Tax</t>
  </si>
  <si>
    <t>TAXABLE INCOME (incl. CG)</t>
  </si>
  <si>
    <t>CALCULATION OF INCOME TAX FOR THE F.Y. 2026-27</t>
  </si>
  <si>
    <t>VERSION =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</si>
</sst>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44" formatCode="_ &quot;₹&quot;\ * #,##0.00_ ;_ &quot;₹&quot;\ * \-#,##0.00_ ;_ &quot;₹&quot;\ * &quot;-&quot;??_ ;_ @_ "/>
    <numFmt numFmtId="164" formatCode="_(* #,##0.00_);_(* \(#,##0.00\);_(* &quot;-&quot;??_);_(@_)"/>
    <numFmt numFmtId="165" formatCode="_(* #,##0_);_(* \(#,##0\);_(* &quot;-&quot;??_);_(@_)"/>
    <numFmt numFmtId="166" formatCode="[$-409]d/mmm/yy;@"/>
    <numFmt numFmtId="167" formatCode="[$-4009]mmm\ yyyy"/>
    <numFmt numFmtId="168" formatCode="0."/>
    <numFmt numFmtId="169" formatCode="&quot;₹&quot;\ #,##0.00"/>
    <numFmt numFmtId="170" formatCode=";;;"/>
    <numFmt numFmtId="171" formatCode="0.0%"/>
  </numFmts>
  <fonts count="45" x14ac:knownFonts="1">
    <font>
      <sz val="11"/>
      <color theme="1"/>
      <name val="Calibri"/>
      <family val="2"/>
      <scheme val="minor"/>
    </font>
    <font>
      <b/>
      <sz val="11"/>
      <color theme="1"/>
      <name val="Calibri"/>
      <family val="2"/>
      <scheme val="minor"/>
    </font>
    <font>
      <sz val="11"/>
      <color theme="0"/>
      <name val="Calibri"/>
      <family val="2"/>
      <scheme val="minor"/>
    </font>
    <font>
      <sz val="11"/>
      <color rgb="FFFF0000"/>
      <name val="Calibri"/>
      <family val="2"/>
      <scheme val="minor"/>
    </font>
    <font>
      <b/>
      <sz val="12"/>
      <color rgb="FFFF0000"/>
      <name val="Calibri"/>
      <family val="2"/>
      <scheme val="minor"/>
    </font>
    <font>
      <b/>
      <sz val="9"/>
      <color indexed="81"/>
      <name val="Tahoma"/>
      <family val="2"/>
    </font>
    <font>
      <sz val="9"/>
      <color indexed="81"/>
      <name val="Tahoma"/>
      <family val="2"/>
    </font>
    <font>
      <sz val="11"/>
      <color theme="1"/>
      <name val="Calibri"/>
      <family val="2"/>
      <scheme val="minor"/>
    </font>
    <font>
      <sz val="16"/>
      <color theme="1"/>
      <name val="Calibri"/>
      <family val="2"/>
      <scheme val="minor"/>
    </font>
    <font>
      <b/>
      <sz val="18"/>
      <color theme="1"/>
      <name val="Calibri"/>
      <family val="2"/>
      <scheme val="minor"/>
    </font>
    <font>
      <b/>
      <u/>
      <sz val="18"/>
      <color theme="1"/>
      <name val="Calibri"/>
      <family val="2"/>
      <scheme val="minor"/>
    </font>
    <font>
      <b/>
      <sz val="11"/>
      <color rgb="FF000000"/>
      <name val="Calibri"/>
      <family val="2"/>
    </font>
    <font>
      <sz val="10"/>
      <color rgb="FF000000"/>
      <name val="Calibri"/>
      <family val="2"/>
    </font>
    <font>
      <b/>
      <sz val="10"/>
      <color rgb="FF000000"/>
      <name val="Calibri"/>
      <family val="2"/>
    </font>
    <font>
      <sz val="10"/>
      <color rgb="FF0070C0"/>
      <name val="Calibri"/>
      <family val="2"/>
    </font>
    <font>
      <sz val="11"/>
      <name val="Calibri"/>
      <family val="2"/>
      <scheme val="minor"/>
    </font>
    <font>
      <sz val="11"/>
      <color rgb="FF00B050"/>
      <name val="Calibri"/>
      <family val="2"/>
      <scheme val="minor"/>
    </font>
    <font>
      <sz val="11"/>
      <color rgb="FF00B0F0"/>
      <name val="Calibri"/>
      <family val="2"/>
      <scheme val="minor"/>
    </font>
    <font>
      <b/>
      <sz val="11"/>
      <color rgb="FFFF0000"/>
      <name val="Calibri"/>
      <family val="2"/>
      <scheme val="minor"/>
    </font>
    <font>
      <sz val="11"/>
      <color theme="9" tint="-0.249977111117893"/>
      <name val="Calibri"/>
      <family val="2"/>
      <scheme val="minor"/>
    </font>
    <font>
      <sz val="11"/>
      <color theme="0" tint="-0.14999847407452621"/>
      <name val="Calibri"/>
      <family val="2"/>
      <scheme val="minor"/>
    </font>
    <font>
      <sz val="11"/>
      <color theme="0" tint="-0.249977111117893"/>
      <name val="Calibri"/>
      <family val="2"/>
      <scheme val="minor"/>
    </font>
    <font>
      <sz val="11"/>
      <color rgb="FF9AF42C"/>
      <name val="Calibri"/>
      <family val="2"/>
      <scheme val="minor"/>
    </font>
    <font>
      <sz val="11"/>
      <color theme="3" tint="0.3999755851924192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theme="0" tint="-4.9989318521683403E-2"/>
      <name val="Calibri"/>
      <family val="2"/>
      <scheme val="minor"/>
    </font>
    <font>
      <i/>
      <u/>
      <sz val="10"/>
      <color theme="1"/>
      <name val="Calibri"/>
      <family val="2"/>
      <scheme val="minor"/>
    </font>
    <font>
      <sz val="8"/>
      <name val="Calibri"/>
      <family val="2"/>
      <scheme val="minor"/>
    </font>
    <font>
      <b/>
      <sz val="10"/>
      <color rgb="FFFF0000"/>
      <name val="Calibri"/>
      <family val="2"/>
      <scheme val="minor"/>
    </font>
    <font>
      <sz val="12"/>
      <color theme="1"/>
      <name val="Calibri"/>
      <family val="2"/>
      <scheme val="minor"/>
    </font>
    <font>
      <sz val="9"/>
      <color theme="9" tint="-0.249977111117893"/>
      <name val="Calibri"/>
      <family val="2"/>
      <scheme val="minor"/>
    </font>
    <font>
      <sz val="10"/>
      <color rgb="FF000000"/>
      <name val="Times New Roman"/>
      <family val="1"/>
    </font>
    <font>
      <b/>
      <sz val="11"/>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11"/>
      <color rgb="FF000000"/>
      <name val="Calibri"/>
      <family val="2"/>
      <scheme val="minor"/>
    </font>
    <font>
      <sz val="11"/>
      <color rgb="FF000000"/>
      <name val="Calibri"/>
      <family val="2"/>
      <scheme val="minor"/>
    </font>
    <font>
      <b/>
      <sz val="18"/>
      <color rgb="FF000000"/>
      <name val="Calibri"/>
      <family val="2"/>
      <scheme val="minor"/>
    </font>
    <font>
      <sz val="10"/>
      <color rgb="FF000000"/>
      <name val="Times New Roman"/>
      <family val="1"/>
    </font>
    <font>
      <b/>
      <sz val="12"/>
      <color rgb="FF00B050"/>
      <name val="Calibri"/>
      <family val="2"/>
      <scheme val="minor"/>
    </font>
    <font>
      <b/>
      <sz val="12"/>
      <color rgb="FF0070C0"/>
      <name val="Calibri"/>
      <family val="2"/>
      <scheme val="minor"/>
    </font>
    <font>
      <b/>
      <sz val="14"/>
      <color rgb="FFFF0000"/>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AF42C"/>
        <bgColor indexed="64"/>
      </patternFill>
    </fill>
    <fill>
      <patternFill patternType="solid">
        <fgColor theme="0" tint="-4.9989318521683403E-2"/>
        <bgColor indexed="64"/>
      </patternFill>
    </fill>
    <fill>
      <patternFill patternType="solid">
        <fgColor rgb="FFFFFF66"/>
        <bgColor indexed="64"/>
      </patternFill>
    </fill>
    <fill>
      <patternFill patternType="solid">
        <fgColor theme="7" tint="0.79998168889431442"/>
        <bgColor indexed="64"/>
      </patternFill>
    </fill>
    <fill>
      <patternFill patternType="solid">
        <fgColor rgb="FFD8D8D8"/>
        <bgColor indexed="64"/>
      </patternFill>
    </fill>
    <fill>
      <patternFill patternType="solid">
        <fgColor theme="6" tint="0.59999389629810485"/>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s>
  <cellStyleXfs count="5">
    <xf numFmtId="0" fontId="0" fillId="0" borderId="0"/>
    <xf numFmtId="164" fontId="7" fillId="0" borderId="0" applyFont="0" applyFill="0" applyBorder="0" applyAlignment="0" applyProtection="0"/>
    <xf numFmtId="9" fontId="7" fillId="0" borderId="0" applyFont="0" applyFill="0" applyBorder="0" applyAlignment="0" applyProtection="0"/>
    <xf numFmtId="0" fontId="33" fillId="0" borderId="0"/>
    <xf numFmtId="44" fontId="33" fillId="0" borderId="0" applyFont="0" applyFill="0" applyBorder="0" applyAlignment="0" applyProtection="0"/>
  </cellStyleXfs>
  <cellXfs count="362">
    <xf numFmtId="0" fontId="0" fillId="0" borderId="0" xfId="0"/>
    <xf numFmtId="0" fontId="0" fillId="0" borderId="1" xfId="0" applyBorder="1" applyAlignment="1" applyProtection="1">
      <alignment horizontal="center" wrapText="1"/>
      <protection hidden="1"/>
    </xf>
    <xf numFmtId="0" fontId="0" fillId="3" borderId="1" xfId="0" applyFill="1" applyBorder="1" applyAlignment="1" applyProtection="1">
      <alignment horizontal="center"/>
      <protection hidden="1"/>
    </xf>
    <xf numFmtId="0" fontId="0" fillId="4" borderId="1" xfId="0" applyFill="1" applyBorder="1" applyAlignment="1" applyProtection="1">
      <alignment horizontal="center"/>
      <protection hidden="1"/>
    </xf>
    <xf numFmtId="0" fontId="0" fillId="5" borderId="1" xfId="0" applyFill="1" applyBorder="1" applyAlignment="1" applyProtection="1">
      <alignment horizontal="center"/>
      <protection hidden="1"/>
    </xf>
    <xf numFmtId="0" fontId="0" fillId="6" borderId="1" xfId="0" applyFill="1" applyBorder="1" applyAlignment="1" applyProtection="1">
      <alignment horizontal="center"/>
      <protection hidden="1"/>
    </xf>
    <xf numFmtId="0" fontId="0" fillId="7" borderId="1" xfId="0" applyFill="1"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0" fillId="0" borderId="1" xfId="0" applyBorder="1" applyAlignment="1">
      <alignment vertical="center"/>
    </xf>
    <xf numFmtId="0" fontId="0" fillId="0" borderId="0" xfId="0" applyAlignment="1">
      <alignment vertical="center"/>
    </xf>
    <xf numFmtId="0" fontId="0" fillId="2" borderId="1" xfId="0" applyFill="1" applyBorder="1" applyAlignment="1" applyProtection="1">
      <alignment horizontal="center" vertical="center"/>
      <protection locked="0"/>
    </xf>
    <xf numFmtId="3" fontId="0" fillId="0" borderId="1" xfId="0" applyNumberFormat="1" applyBorder="1" applyAlignment="1" applyProtection="1">
      <alignment horizontal="right" vertical="center"/>
      <protection hidden="1"/>
    </xf>
    <xf numFmtId="0" fontId="0" fillId="3" borderId="5" xfId="0" applyFill="1" applyBorder="1" applyAlignment="1" applyProtection="1">
      <alignment horizontal="center"/>
      <protection hidden="1"/>
    </xf>
    <xf numFmtId="3" fontId="0" fillId="0" borderId="0" xfId="0" applyNumberFormat="1"/>
    <xf numFmtId="3" fontId="0" fillId="0" borderId="0" xfId="0" applyNumberForma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0" fontId="8" fillId="0" borderId="0" xfId="0" applyFont="1"/>
    <xf numFmtId="165" fontId="0" fillId="0" borderId="0" xfId="1" applyNumberFormat="1" applyFont="1" applyBorder="1" applyAlignment="1">
      <alignment vertical="center"/>
    </xf>
    <xf numFmtId="0" fontId="8" fillId="0" borderId="0" xfId="0" applyFont="1" applyAlignment="1">
      <alignment horizontal="center"/>
    </xf>
    <xf numFmtId="3" fontId="3" fillId="0" borderId="0" xfId="0" applyNumberFormat="1" applyFont="1" applyAlignment="1">
      <alignment horizontal="right" vertical="center"/>
    </xf>
    <xf numFmtId="0" fontId="0" fillId="12" borderId="1" xfId="0" applyFill="1" applyBorder="1" applyAlignment="1">
      <alignment vertical="center"/>
    </xf>
    <xf numFmtId="0" fontId="0" fillId="13" borderId="1" xfId="0" applyFill="1" applyBorder="1" applyAlignment="1">
      <alignment horizontal="center" vertical="center" wrapText="1"/>
    </xf>
    <xf numFmtId="165" fontId="0" fillId="0" borderId="1" xfId="0" applyNumberFormat="1" applyBorder="1"/>
    <xf numFmtId="0" fontId="0" fillId="0" borderId="0" xfId="0" applyAlignment="1">
      <alignment horizontal="center" vertical="center"/>
    </xf>
    <xf numFmtId="9" fontId="0" fillId="0" borderId="1" xfId="0" applyNumberFormat="1" applyBorder="1" applyAlignment="1">
      <alignment horizontal="center" vertical="center"/>
    </xf>
    <xf numFmtId="165" fontId="0" fillId="0" borderId="1" xfId="1" applyNumberFormat="1" applyFont="1" applyBorder="1" applyAlignment="1" applyProtection="1">
      <alignment vertical="center"/>
      <protection hidden="1"/>
    </xf>
    <xf numFmtId="0" fontId="0" fillId="0" borderId="1" xfId="0" applyBorder="1" applyAlignment="1" applyProtection="1">
      <alignment vertical="center"/>
      <protection hidden="1"/>
    </xf>
    <xf numFmtId="3" fontId="0" fillId="0" borderId="1" xfId="0" applyNumberFormat="1" applyBorder="1" applyAlignment="1" applyProtection="1">
      <alignment vertical="center"/>
      <protection hidden="1"/>
    </xf>
    <xf numFmtId="0" fontId="0" fillId="0" borderId="1" xfId="0" applyBorder="1" applyAlignment="1" applyProtection="1">
      <alignment horizontal="center"/>
      <protection hidden="1"/>
    </xf>
    <xf numFmtId="0" fontId="3" fillId="0" borderId="0" xfId="0" applyFont="1"/>
    <xf numFmtId="0" fontId="3" fillId="0" borderId="0" xfId="0" applyFont="1" applyProtection="1">
      <protection hidden="1"/>
    </xf>
    <xf numFmtId="0" fontId="3" fillId="0" borderId="0" xfId="0" applyFont="1" applyAlignment="1" applyProtection="1">
      <alignment horizontal="center"/>
      <protection hidden="1"/>
    </xf>
    <xf numFmtId="0" fontId="0" fillId="0" borderId="1" xfId="0" applyBorder="1" applyAlignment="1">
      <alignment horizontal="left" vertical="center"/>
    </xf>
    <xf numFmtId="0" fontId="2" fillId="0" borderId="0" xfId="0" applyFont="1"/>
    <xf numFmtId="165" fontId="0" fillId="2" borderId="1" xfId="1" applyNumberFormat="1" applyFont="1" applyFill="1" applyBorder="1" applyAlignment="1" applyProtection="1">
      <alignment vertical="center"/>
      <protection locked="0"/>
    </xf>
    <xf numFmtId="166" fontId="0" fillId="2" borderId="1" xfId="0" applyNumberFormat="1" applyFill="1" applyBorder="1" applyAlignment="1" applyProtection="1">
      <alignment horizontal="center" vertical="center"/>
      <protection locked="0"/>
    </xf>
    <xf numFmtId="165" fontId="0" fillId="2" borderId="1" xfId="1" applyNumberFormat="1" applyFont="1" applyFill="1" applyBorder="1" applyAlignment="1" applyProtection="1">
      <alignment horizontal="center" vertical="center"/>
      <protection locked="0"/>
    </xf>
    <xf numFmtId="3" fontId="0" fillId="2" borderId="1" xfId="0" applyNumberFormat="1" applyFill="1" applyBorder="1" applyAlignment="1" applyProtection="1">
      <alignment vertical="center"/>
      <protection locked="0"/>
    </xf>
    <xf numFmtId="3" fontId="0" fillId="15" borderId="1" xfId="0" applyNumberFormat="1" applyFill="1" applyBorder="1" applyAlignment="1" applyProtection="1">
      <alignment vertical="center"/>
      <protection locked="0"/>
    </xf>
    <xf numFmtId="3" fontId="0" fillId="4" borderId="1" xfId="0" applyNumberFormat="1" applyFill="1" applyBorder="1" applyAlignment="1" applyProtection="1">
      <alignment vertical="center"/>
      <protection hidden="1"/>
    </xf>
    <xf numFmtId="0" fontId="0" fillId="13" borderId="1" xfId="0" applyFill="1" applyBorder="1" applyAlignment="1" applyProtection="1">
      <alignment horizontal="center" vertical="center" wrapText="1"/>
      <protection hidden="1"/>
    </xf>
    <xf numFmtId="0" fontId="0" fillId="8" borderId="1" xfId="0" applyFill="1" applyBorder="1" applyAlignment="1" applyProtection="1">
      <alignment horizontal="left" vertical="center"/>
      <protection hidden="1"/>
    </xf>
    <xf numFmtId="3" fontId="0" fillId="16" borderId="1" xfId="0" applyNumberFormat="1" applyFill="1" applyBorder="1" applyAlignment="1" applyProtection="1">
      <alignment vertical="center"/>
      <protection hidden="1"/>
    </xf>
    <xf numFmtId="0" fontId="0" fillId="0" borderId="1" xfId="0" applyBorder="1" applyAlignment="1" applyProtection="1">
      <alignment horizontal="right"/>
      <protection hidden="1"/>
    </xf>
    <xf numFmtId="165" fontId="0" fillId="0" borderId="1" xfId="1" applyNumberFormat="1" applyFont="1" applyFill="1" applyBorder="1" applyAlignment="1" applyProtection="1">
      <alignment horizontal="center" vertical="center"/>
      <protection hidden="1"/>
    </xf>
    <xf numFmtId="0" fontId="9" fillId="0" borderId="0" xfId="0" applyFont="1" applyAlignment="1" applyProtection="1">
      <alignment horizontal="center"/>
      <protection hidden="1"/>
    </xf>
    <xf numFmtId="0" fontId="0" fillId="11" borderId="1" xfId="0" applyFill="1" applyBorder="1" applyAlignment="1" applyProtection="1">
      <alignment horizontal="left" vertical="center"/>
      <protection hidden="1"/>
    </xf>
    <xf numFmtId="0" fontId="0" fillId="10" borderId="1" xfId="0" applyFill="1" applyBorder="1" applyAlignment="1" applyProtection="1">
      <alignment horizontal="left" vertical="center"/>
      <protection hidden="1"/>
    </xf>
    <xf numFmtId="165" fontId="0" fillId="10" borderId="1" xfId="1" applyNumberFormat="1" applyFont="1" applyFill="1" applyBorder="1" applyAlignment="1" applyProtection="1">
      <alignment vertical="center"/>
      <protection hidden="1"/>
    </xf>
    <xf numFmtId="0" fontId="12" fillId="0" borderId="5" xfId="0" applyFont="1" applyBorder="1"/>
    <xf numFmtId="0" fontId="12" fillId="0" borderId="0" xfId="0" applyFont="1"/>
    <xf numFmtId="0" fontId="12" fillId="0" borderId="8" xfId="0" applyFont="1" applyBorder="1"/>
    <xf numFmtId="0" fontId="12" fillId="0" borderId="4" xfId="0" applyFont="1" applyBorder="1"/>
    <xf numFmtId="0" fontId="12" fillId="0" borderId="14" xfId="0" applyFont="1" applyBorder="1"/>
    <xf numFmtId="0" fontId="12" fillId="0" borderId="9" xfId="0" applyFont="1" applyBorder="1"/>
    <xf numFmtId="0" fontId="12" fillId="0" borderId="1" xfId="0" applyFont="1" applyBorder="1" applyAlignment="1">
      <alignment horizontal="center"/>
    </xf>
    <xf numFmtId="0" fontId="12" fillId="0" borderId="1" xfId="0" applyFont="1" applyBorder="1"/>
    <xf numFmtId="14" fontId="14" fillId="0" borderId="1" xfId="0" applyNumberFormat="1" applyFont="1" applyBorder="1" applyAlignment="1">
      <alignment horizontal="center"/>
    </xf>
    <xf numFmtId="0" fontId="12" fillId="0" borderId="1" xfId="0" applyFont="1" applyBorder="1" applyAlignment="1">
      <alignment horizontal="right"/>
    </xf>
    <xf numFmtId="0" fontId="12" fillId="17" borderId="1" xfId="0" applyFont="1" applyFill="1" applyBorder="1"/>
    <xf numFmtId="3" fontId="12" fillId="0" borderId="1" xfId="0" applyNumberFormat="1" applyFont="1" applyBorder="1" applyAlignment="1">
      <alignment vertical="center"/>
    </xf>
    <xf numFmtId="0" fontId="12" fillId="17" borderId="1" xfId="0" applyFont="1" applyFill="1" applyBorder="1" applyAlignment="1">
      <alignment vertical="center"/>
    </xf>
    <xf numFmtId="0" fontId="12" fillId="0" borderId="1" xfId="0" applyFont="1" applyBorder="1" applyAlignment="1">
      <alignment vertical="center"/>
    </xf>
    <xf numFmtId="3" fontId="12" fillId="0" borderId="1" xfId="0" applyNumberFormat="1" applyFont="1" applyBorder="1"/>
    <xf numFmtId="0" fontId="12" fillId="0" borderId="0" xfId="0" applyFont="1" applyAlignment="1">
      <alignment horizontal="right"/>
    </xf>
    <xf numFmtId="1" fontId="12" fillId="0" borderId="1" xfId="0" applyNumberFormat="1" applyFont="1" applyBorder="1"/>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0" fillId="0" borderId="0" xfId="0" applyAlignment="1">
      <alignment horizontal="center"/>
    </xf>
    <xf numFmtId="0" fontId="15" fillId="0" borderId="0" xfId="0" applyFont="1" applyProtection="1">
      <protection hidden="1"/>
    </xf>
    <xf numFmtId="165" fontId="0" fillId="0" borderId="1" xfId="0" applyNumberFormat="1" applyBorder="1" applyAlignment="1">
      <alignment horizontal="right" vertical="center"/>
    </xf>
    <xf numFmtId="0" fontId="1" fillId="9" borderId="1" xfId="0" applyFont="1" applyFill="1" applyBorder="1" applyAlignment="1" applyProtection="1">
      <alignment vertical="center"/>
      <protection hidden="1"/>
    </xf>
    <xf numFmtId="0" fontId="1" fillId="9" borderId="1" xfId="0" applyFont="1" applyFill="1" applyBorder="1" applyAlignment="1" applyProtection="1">
      <alignment horizontal="center" vertical="center" wrapText="1"/>
      <protection hidden="1"/>
    </xf>
    <xf numFmtId="165" fontId="3" fillId="0" borderId="1" xfId="1" applyNumberFormat="1" applyFont="1" applyBorder="1" applyAlignment="1" applyProtection="1">
      <alignment vertical="center"/>
      <protection hidden="1"/>
    </xf>
    <xf numFmtId="165" fontId="0" fillId="0" borderId="1" xfId="1" applyNumberFormat="1" applyFont="1" applyBorder="1"/>
    <xf numFmtId="0" fontId="21" fillId="0" borderId="0" xfId="0" applyFont="1"/>
    <xf numFmtId="0" fontId="22" fillId="0" borderId="0" xfId="0" applyFont="1" applyProtection="1">
      <protection hidden="1"/>
    </xf>
    <xf numFmtId="0" fontId="22" fillId="0" borderId="0" xfId="0" applyFont="1" applyAlignment="1" applyProtection="1">
      <alignment vertical="center"/>
      <protection hidden="1"/>
    </xf>
    <xf numFmtId="0" fontId="22" fillId="0" borderId="0" xfId="0" applyFont="1"/>
    <xf numFmtId="0" fontId="23" fillId="8" borderId="13" xfId="0" applyFont="1" applyFill="1" applyBorder="1" applyAlignment="1">
      <alignment vertical="center"/>
    </xf>
    <xf numFmtId="0" fontId="2" fillId="0" borderId="14" xfId="0" applyFont="1" applyBorder="1" applyAlignment="1" applyProtection="1">
      <alignment horizontal="center" vertical="center"/>
      <protection hidden="1"/>
    </xf>
    <xf numFmtId="0" fontId="15" fillId="0" borderId="1" xfId="0" applyFont="1" applyBorder="1" applyAlignment="1">
      <alignment horizontal="center"/>
    </xf>
    <xf numFmtId="0" fontId="15" fillId="0" borderId="1" xfId="0" applyFont="1" applyBorder="1"/>
    <xf numFmtId="3" fontId="15" fillId="0" borderId="1" xfId="0" applyNumberFormat="1" applyFont="1" applyBorder="1" applyAlignment="1">
      <alignment horizontal="center" vertical="center"/>
    </xf>
    <xf numFmtId="1" fontId="15" fillId="0" borderId="1" xfId="0" applyNumberFormat="1" applyFont="1" applyBorder="1" applyAlignment="1">
      <alignment horizontal="center"/>
    </xf>
    <xf numFmtId="165"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pplyProtection="1">
      <alignment horizontal="right"/>
      <protection hidden="1"/>
    </xf>
    <xf numFmtId="0" fontId="17" fillId="0" borderId="3" xfId="0" applyFont="1" applyBorder="1" applyAlignment="1" applyProtection="1">
      <alignment horizontal="right"/>
      <protection hidden="1"/>
    </xf>
    <xf numFmtId="0" fontId="17" fillId="0" borderId="15" xfId="0" applyFont="1" applyBorder="1" applyAlignment="1" applyProtection="1">
      <alignment horizontal="right"/>
      <protection hidden="1"/>
    </xf>
    <xf numFmtId="165" fontId="16" fillId="0" borderId="1" xfId="1" applyNumberFormat="1" applyFont="1" applyBorder="1" applyAlignment="1" applyProtection="1">
      <alignment vertical="center"/>
      <protection hidden="1"/>
    </xf>
    <xf numFmtId="165" fontId="0" fillId="0" borderId="1" xfId="0" applyNumberFormat="1" applyBorder="1" applyAlignment="1" applyProtection="1">
      <alignment vertical="center"/>
      <protection hidden="1"/>
    </xf>
    <xf numFmtId="165" fontId="4" fillId="14" borderId="1" xfId="0" applyNumberFormat="1" applyFont="1" applyFill="1" applyBorder="1" applyAlignment="1" applyProtection="1">
      <alignment vertical="center"/>
      <protection hidden="1"/>
    </xf>
    <xf numFmtId="9" fontId="0" fillId="2" borderId="1" xfId="2" applyFont="1" applyFill="1" applyBorder="1" applyAlignment="1" applyProtection="1">
      <alignment vertical="center"/>
      <protection locked="0"/>
    </xf>
    <xf numFmtId="0" fontId="25" fillId="0" borderId="1" xfId="0" applyFont="1" applyBorder="1" applyAlignment="1" applyProtection="1">
      <alignment horizontal="right"/>
      <protection hidden="1"/>
    </xf>
    <xf numFmtId="0" fontId="25" fillId="14" borderId="1" xfId="0" applyFont="1" applyFill="1" applyBorder="1" applyProtection="1">
      <protection hidden="1"/>
    </xf>
    <xf numFmtId="3" fontId="25" fillId="0" borderId="1" xfId="0" applyNumberFormat="1" applyFont="1" applyBorder="1" applyAlignment="1" applyProtection="1">
      <alignment vertical="center"/>
      <protection hidden="1"/>
    </xf>
    <xf numFmtId="0" fontId="25" fillId="14" borderId="1" xfId="0" applyFont="1" applyFill="1" applyBorder="1" applyAlignment="1" applyProtection="1">
      <alignment vertical="center"/>
      <protection hidden="1"/>
    </xf>
    <xf numFmtId="0" fontId="25" fillId="0" borderId="0" xfId="0" applyFont="1" applyProtection="1">
      <protection hidden="1"/>
    </xf>
    <xf numFmtId="3" fontId="25" fillId="0" borderId="1" xfId="0" applyNumberFormat="1" applyFont="1" applyBorder="1" applyProtection="1">
      <protection hidden="1"/>
    </xf>
    <xf numFmtId="0" fontId="25" fillId="0" borderId="0" xfId="0" applyFont="1" applyAlignment="1" applyProtection="1">
      <alignment horizontal="right"/>
      <protection hidden="1"/>
    </xf>
    <xf numFmtId="3" fontId="25" fillId="14" borderId="1" xfId="0" applyNumberFormat="1" applyFont="1" applyFill="1" applyBorder="1" applyProtection="1">
      <protection hidden="1"/>
    </xf>
    <xf numFmtId="0" fontId="25" fillId="0" borderId="0" xfId="0" applyFont="1" applyAlignment="1" applyProtection="1">
      <alignment vertical="center"/>
      <protection hidden="1"/>
    </xf>
    <xf numFmtId="0" fontId="26" fillId="14" borderId="1" xfId="0" applyFont="1" applyFill="1" applyBorder="1" applyProtection="1">
      <protection hidden="1"/>
    </xf>
    <xf numFmtId="0" fontId="25" fillId="0" borderId="1" xfId="0" applyFont="1" applyBorder="1" applyProtection="1">
      <protection hidden="1"/>
    </xf>
    <xf numFmtId="0" fontId="27" fillId="14" borderId="1" xfId="0" applyFont="1" applyFill="1" applyBorder="1" applyProtection="1">
      <protection hidden="1"/>
    </xf>
    <xf numFmtId="0" fontId="25" fillId="0" borderId="0" xfId="0" applyFont="1" applyAlignment="1" applyProtection="1">
      <alignment horizontal="left" vertical="center"/>
      <protection hidden="1"/>
    </xf>
    <xf numFmtId="0" fontId="25" fillId="2" borderId="1" xfId="0" applyFont="1" applyFill="1" applyBorder="1" applyProtection="1">
      <protection locked="0"/>
    </xf>
    <xf numFmtId="0" fontId="25" fillId="0" borderId="0" xfId="0" applyFont="1"/>
    <xf numFmtId="0" fontId="25" fillId="2" borderId="0" xfId="0" applyFont="1" applyFill="1" applyAlignment="1" applyProtection="1">
      <alignment horizontal="left" vertical="center"/>
      <protection locked="0"/>
    </xf>
    <xf numFmtId="3" fontId="25" fillId="0" borderId="13" xfId="0" applyNumberFormat="1" applyFont="1" applyBorder="1" applyProtection="1">
      <protection hidden="1"/>
    </xf>
    <xf numFmtId="0" fontId="0" fillId="0" borderId="8" xfId="0" applyBorder="1" applyAlignment="1" applyProtection="1">
      <alignment vertical="center"/>
      <protection hidden="1"/>
    </xf>
    <xf numFmtId="0" fontId="25" fillId="0" borderId="13" xfId="0" applyFont="1" applyBorder="1" applyAlignment="1" applyProtection="1">
      <alignment horizontal="right"/>
      <protection hidden="1"/>
    </xf>
    <xf numFmtId="3" fontId="25" fillId="0" borderId="0" xfId="0" applyNumberFormat="1" applyFont="1" applyProtection="1">
      <protection hidden="1"/>
    </xf>
    <xf numFmtId="0" fontId="25" fillId="0" borderId="1" xfId="0" applyFont="1" applyBorder="1" applyAlignment="1">
      <alignment vertical="center"/>
    </xf>
    <xf numFmtId="0" fontId="25" fillId="0" borderId="1" xfId="0" applyFont="1" applyBorder="1" applyAlignment="1" applyProtection="1">
      <alignment horizontal="center"/>
      <protection hidden="1"/>
    </xf>
    <xf numFmtId="14" fontId="25" fillId="2" borderId="0" xfId="0" applyNumberFormat="1" applyFont="1" applyFill="1" applyAlignment="1" applyProtection="1">
      <alignment horizontal="left" vertical="center"/>
      <protection locked="0"/>
    </xf>
    <xf numFmtId="0" fontId="3" fillId="0" borderId="0" xfId="0" applyFont="1" applyAlignment="1" applyProtection="1">
      <alignment horizontal="right" vertical="center"/>
      <protection hidden="1"/>
    </xf>
    <xf numFmtId="0" fontId="18" fillId="0" borderId="0" xfId="0" applyFont="1" applyAlignment="1" applyProtection="1">
      <alignment horizontal="left" vertical="center"/>
      <protection hidden="1"/>
    </xf>
    <xf numFmtId="0" fontId="3" fillId="0" borderId="14" xfId="0" applyFont="1" applyBorder="1" applyAlignment="1" applyProtection="1">
      <alignment horizontal="right" vertical="center"/>
      <protection hidden="1"/>
    </xf>
    <xf numFmtId="0" fontId="18" fillId="0" borderId="14" xfId="0" applyFont="1" applyBorder="1" applyAlignment="1" applyProtection="1">
      <alignment horizontal="left" vertical="center"/>
      <protection hidden="1"/>
    </xf>
    <xf numFmtId="167" fontId="0" fillId="8" borderId="1" xfId="0" applyNumberFormat="1" applyFill="1" applyBorder="1" applyAlignment="1" applyProtection="1">
      <alignment horizontal="left" vertical="center"/>
      <protection hidden="1"/>
    </xf>
    <xf numFmtId="14" fontId="2" fillId="0" borderId="0" xfId="0" applyNumberFormat="1" applyFont="1" applyAlignment="1" applyProtection="1">
      <alignment horizontal="center" vertical="center"/>
      <protection hidden="1"/>
    </xf>
    <xf numFmtId="0" fontId="10" fillId="0" borderId="0" xfId="0" applyFont="1" applyProtection="1">
      <protection hidden="1"/>
    </xf>
    <xf numFmtId="0" fontId="9" fillId="0" borderId="0" xfId="0" applyFont="1" applyAlignment="1" applyProtection="1">
      <alignment horizontal="left"/>
      <protection hidden="1"/>
    </xf>
    <xf numFmtId="0" fontId="0" fillId="0" borderId="1" xfId="0" applyBorder="1"/>
    <xf numFmtId="2" fontId="0" fillId="0" borderId="1" xfId="0" applyNumberFormat="1" applyBorder="1" applyProtection="1">
      <protection hidden="1"/>
    </xf>
    <xf numFmtId="0" fontId="0" fillId="0" borderId="12" xfId="0" applyBorder="1" applyAlignment="1">
      <alignment vertical="center"/>
    </xf>
    <xf numFmtId="0" fontId="31" fillId="0" borderId="1" xfId="0" applyFont="1" applyBorder="1" applyAlignment="1">
      <alignment vertical="center"/>
    </xf>
    <xf numFmtId="165" fontId="0" fillId="0" borderId="1" xfId="0" applyNumberFormat="1" applyBorder="1" applyAlignment="1">
      <alignment vertical="center"/>
    </xf>
    <xf numFmtId="0" fontId="0" fillId="0" borderId="1" xfId="0" applyBorder="1" applyAlignment="1">
      <alignment horizontal="center" vertical="center"/>
    </xf>
    <xf numFmtId="165" fontId="0" fillId="0" borderId="1" xfId="0" applyNumberFormat="1" applyBorder="1" applyAlignment="1">
      <alignment horizontal="center" vertical="center"/>
    </xf>
    <xf numFmtId="3" fontId="24" fillId="0" borderId="1" xfId="0" applyNumberFormat="1" applyFont="1" applyBorder="1" applyProtection="1">
      <protection hidden="1"/>
    </xf>
    <xf numFmtId="0" fontId="33" fillId="0" borderId="0" xfId="3" applyAlignment="1">
      <alignment horizontal="left" vertical="top"/>
    </xf>
    <xf numFmtId="0" fontId="26" fillId="0" borderId="1" xfId="3" applyFont="1" applyBorder="1" applyAlignment="1">
      <alignment horizontal="center" vertical="top" wrapText="1"/>
    </xf>
    <xf numFmtId="0" fontId="38" fillId="0" borderId="1" xfId="3" applyFont="1" applyBorder="1" applyAlignment="1">
      <alignment horizontal="center" vertical="center"/>
    </xf>
    <xf numFmtId="14" fontId="38" fillId="0" borderId="1" xfId="3" applyNumberFormat="1" applyFont="1" applyBorder="1" applyAlignment="1">
      <alignment horizontal="center" vertical="center"/>
    </xf>
    <xf numFmtId="0" fontId="34" fillId="0" borderId="14" xfId="3" applyFont="1" applyBorder="1" applyAlignment="1">
      <alignment horizontal="right" vertical="top" wrapText="1"/>
    </xf>
    <xf numFmtId="0" fontId="34" fillId="0" borderId="9" xfId="3" applyFont="1" applyBorder="1" applyAlignment="1">
      <alignment horizontal="right" vertical="top" wrapText="1"/>
    </xf>
    <xf numFmtId="168" fontId="39" fillId="0" borderId="6" xfId="3" applyNumberFormat="1" applyFont="1" applyBorder="1" applyAlignment="1">
      <alignment horizontal="left" vertical="top" shrinkToFit="1"/>
    </xf>
    <xf numFmtId="0" fontId="35" fillId="0" borderId="5" xfId="3" applyFont="1" applyBorder="1" applyAlignment="1">
      <alignment horizontal="right" vertical="top" wrapText="1"/>
    </xf>
    <xf numFmtId="0" fontId="15" fillId="0" borderId="0" xfId="3" applyFont="1" applyAlignment="1">
      <alignment horizontal="left" vertical="top" wrapText="1"/>
    </xf>
    <xf numFmtId="169" fontId="37" fillId="0" borderId="0" xfId="3" applyNumberFormat="1" applyFont="1" applyAlignment="1">
      <alignment horizontal="left" wrapText="1"/>
    </xf>
    <xf numFmtId="169" fontId="34" fillId="0" borderId="0" xfId="3" applyNumberFormat="1" applyFont="1" applyAlignment="1">
      <alignment horizontal="right" vertical="top" wrapText="1"/>
    </xf>
    <xf numFmtId="169" fontId="37" fillId="0" borderId="8" xfId="3" applyNumberFormat="1" applyFont="1" applyBorder="1" applyAlignment="1">
      <alignment horizontal="right" wrapText="1"/>
    </xf>
    <xf numFmtId="169" fontId="37" fillId="0" borderId="0" xfId="3" applyNumberFormat="1" applyFont="1" applyAlignment="1">
      <alignment horizontal="left" vertical="center" wrapText="1"/>
    </xf>
    <xf numFmtId="169" fontId="37" fillId="0" borderId="8" xfId="3" applyNumberFormat="1" applyFont="1" applyBorder="1" applyAlignment="1">
      <alignment horizontal="right" vertical="center" wrapText="1"/>
    </xf>
    <xf numFmtId="169" fontId="37" fillId="0" borderId="0" xfId="3" applyNumberFormat="1" applyFont="1" applyAlignment="1">
      <alignment horizontal="right" wrapText="1"/>
    </xf>
    <xf numFmtId="169" fontId="34" fillId="0" borderId="8" xfId="3" applyNumberFormat="1" applyFont="1" applyBorder="1" applyAlignment="1">
      <alignment horizontal="right" vertical="top" wrapText="1"/>
    </xf>
    <xf numFmtId="169" fontId="37" fillId="0" borderId="0" xfId="3" applyNumberFormat="1" applyFont="1" applyAlignment="1">
      <alignment horizontal="right" vertical="center" wrapText="1"/>
    </xf>
    <xf numFmtId="168" fontId="39" fillId="0" borderId="5" xfId="3" applyNumberFormat="1" applyFont="1" applyBorder="1" applyAlignment="1">
      <alignment horizontal="left" vertical="top" shrinkToFit="1"/>
    </xf>
    <xf numFmtId="169" fontId="37" fillId="0" borderId="8" xfId="3" applyNumberFormat="1" applyFont="1" applyBorder="1" applyAlignment="1">
      <alignment horizontal="right" vertical="top" wrapText="1"/>
    </xf>
    <xf numFmtId="0" fontId="35" fillId="0" borderId="5" xfId="3" applyFont="1" applyBorder="1" applyAlignment="1">
      <alignment horizontal="right" wrapText="1"/>
    </xf>
    <xf numFmtId="0" fontId="15" fillId="0" borderId="5" xfId="3" applyFont="1" applyBorder="1" applyAlignment="1">
      <alignment horizontal="right" vertical="top" wrapText="1"/>
    </xf>
    <xf numFmtId="169" fontId="37" fillId="0" borderId="0" xfId="4" applyNumberFormat="1" applyFont="1" applyBorder="1" applyAlignment="1">
      <alignment horizontal="right" wrapText="1"/>
    </xf>
    <xf numFmtId="169" fontId="34" fillId="0" borderId="0" xfId="4" applyNumberFormat="1" applyFont="1" applyBorder="1" applyAlignment="1">
      <alignment horizontal="right" vertical="top" wrapText="1"/>
    </xf>
    <xf numFmtId="169" fontId="37" fillId="0" borderId="8" xfId="4" applyNumberFormat="1" applyFont="1" applyBorder="1" applyAlignment="1">
      <alignment horizontal="right" wrapText="1"/>
    </xf>
    <xf numFmtId="169" fontId="37" fillId="0" borderId="0" xfId="4" applyNumberFormat="1" applyFont="1" applyBorder="1" applyAlignment="1">
      <alignment horizontal="right" vertical="center" wrapText="1"/>
    </xf>
    <xf numFmtId="169" fontId="34" fillId="0" borderId="8" xfId="4" applyNumberFormat="1" applyFont="1" applyBorder="1" applyAlignment="1">
      <alignment horizontal="right" vertical="top" wrapText="1"/>
    </xf>
    <xf numFmtId="8" fontId="34" fillId="0" borderId="0" xfId="3" applyNumberFormat="1" applyFont="1" applyAlignment="1">
      <alignment horizontal="right" vertical="center" wrapText="1"/>
    </xf>
    <xf numFmtId="169" fontId="34" fillId="0" borderId="0" xfId="3" applyNumberFormat="1" applyFont="1" applyAlignment="1">
      <alignment horizontal="right" vertical="center" wrapText="1"/>
    </xf>
    <xf numFmtId="168" fontId="39" fillId="0" borderId="4" xfId="3" applyNumberFormat="1" applyFont="1" applyBorder="1" applyAlignment="1">
      <alignment horizontal="left" vertical="top" shrinkToFit="1"/>
    </xf>
    <xf numFmtId="0" fontId="15" fillId="0" borderId="14" xfId="3" applyFont="1" applyBorder="1" applyAlignment="1">
      <alignment horizontal="left" vertical="top" wrapText="1"/>
    </xf>
    <xf numFmtId="169" fontId="37" fillId="0" borderId="14" xfId="3" applyNumberFormat="1" applyFont="1" applyBorder="1" applyAlignment="1">
      <alignment horizontal="right" wrapText="1"/>
    </xf>
    <xf numFmtId="169" fontId="34" fillId="0" borderId="9" xfId="3" applyNumberFormat="1" applyFont="1" applyBorder="1" applyAlignment="1">
      <alignment horizontal="right" vertical="top" wrapText="1"/>
    </xf>
    <xf numFmtId="0" fontId="41" fillId="0" borderId="0" xfId="3" applyFont="1" applyAlignment="1">
      <alignment horizontal="left" vertical="top"/>
    </xf>
    <xf numFmtId="0" fontId="15" fillId="0" borderId="0" xfId="3" applyFont="1" applyAlignment="1">
      <alignment horizontal="center" vertical="top" wrapText="1"/>
    </xf>
    <xf numFmtId="0" fontId="15" fillId="0" borderId="8" xfId="3" applyFont="1" applyBorder="1" applyAlignment="1">
      <alignment horizontal="center" vertical="top" wrapText="1"/>
    </xf>
    <xf numFmtId="169" fontId="34" fillId="0" borderId="8" xfId="3" applyNumberFormat="1" applyFont="1" applyBorder="1" applyAlignment="1">
      <alignment horizontal="right" vertical="center" wrapText="1"/>
    </xf>
    <xf numFmtId="0" fontId="35" fillId="0" borderId="5" xfId="3" applyFont="1" applyBorder="1" applyAlignment="1">
      <alignment horizontal="left" wrapText="1"/>
    </xf>
    <xf numFmtId="0" fontId="35" fillId="0" borderId="0" xfId="3" applyFont="1" applyAlignment="1">
      <alignment horizontal="left" vertical="top" wrapText="1"/>
    </xf>
    <xf numFmtId="0" fontId="15" fillId="0" borderId="19" xfId="3" applyFont="1" applyBorder="1" applyAlignment="1">
      <alignment vertical="center" wrapText="1"/>
    </xf>
    <xf numFmtId="14" fontId="15" fillId="0" borderId="20" xfId="3" applyNumberFormat="1" applyFont="1" applyBorder="1" applyAlignment="1">
      <alignment horizontal="left" vertical="center" wrapText="1"/>
    </xf>
    <xf numFmtId="9" fontId="33" fillId="0" borderId="0" xfId="3" applyNumberFormat="1" applyAlignment="1">
      <alignment horizontal="left" vertical="top"/>
    </xf>
    <xf numFmtId="165" fontId="0" fillId="0" borderId="1" xfId="1" applyNumberFormat="1" applyFont="1" applyBorder="1" applyAlignment="1">
      <alignment vertical="center"/>
    </xf>
    <xf numFmtId="3" fontId="0" fillId="19" borderId="1" xfId="0" applyNumberFormat="1" applyFill="1" applyBorder="1" applyAlignment="1">
      <alignment vertical="center"/>
    </xf>
    <xf numFmtId="0" fontId="0" fillId="0" borderId="2" xfId="0" applyBorder="1" applyAlignment="1">
      <alignment horizontal="center"/>
    </xf>
    <xf numFmtId="0" fontId="0" fillId="0" borderId="15" xfId="0" applyBorder="1" applyAlignment="1">
      <alignment horizontal="center"/>
    </xf>
    <xf numFmtId="3" fontId="0" fillId="0" borderId="1" xfId="0" applyNumberFormat="1" applyBorder="1" applyAlignment="1">
      <alignment horizontal="center"/>
    </xf>
    <xf numFmtId="165" fontId="22" fillId="0" borderId="0" xfId="0" applyNumberFormat="1" applyFont="1"/>
    <xf numFmtId="169" fontId="37" fillId="0" borderId="14" xfId="3" applyNumberFormat="1" applyFont="1" applyBorder="1" applyAlignment="1">
      <alignment horizontal="right" vertical="center" wrapText="1"/>
    </xf>
    <xf numFmtId="165" fontId="42" fillId="0" borderId="1" xfId="0" applyNumberFormat="1" applyFont="1" applyBorder="1" applyAlignment="1" applyProtection="1">
      <alignment vertical="center"/>
      <protection hidden="1"/>
    </xf>
    <xf numFmtId="165" fontId="43" fillId="0" borderId="1" xfId="0" applyNumberFormat="1" applyFont="1" applyBorder="1" applyAlignment="1" applyProtection="1">
      <alignment vertical="center"/>
      <protection hidden="1"/>
    </xf>
    <xf numFmtId="170" fontId="0" fillId="0" borderId="0" xfId="0" applyNumberFormat="1" applyAlignment="1">
      <alignment horizontal="center"/>
    </xf>
    <xf numFmtId="165" fontId="0" fillId="0" borderId="0" xfId="0" applyNumberFormat="1" applyAlignment="1">
      <alignment horizontal="center"/>
    </xf>
    <xf numFmtId="0" fontId="0" fillId="0" borderId="10" xfId="0" applyBorder="1" applyAlignment="1">
      <alignment vertical="center"/>
    </xf>
    <xf numFmtId="0" fontId="0" fillId="0" borderId="10" xfId="0" applyBorder="1"/>
    <xf numFmtId="0" fontId="31" fillId="0" borderId="0" xfId="0" applyFont="1" applyAlignment="1">
      <alignment horizontal="center" vertical="center"/>
    </xf>
    <xf numFmtId="170" fontId="34" fillId="0" borderId="4" xfId="3" applyNumberFormat="1" applyFont="1" applyBorder="1" applyAlignment="1">
      <alignment horizontal="center" vertical="top" wrapText="1"/>
    </xf>
    <xf numFmtId="0" fontId="34" fillId="2" borderId="14" xfId="3" applyFont="1" applyFill="1" applyBorder="1" applyAlignment="1">
      <alignment horizontal="center" vertical="center" wrapText="1"/>
    </xf>
    <xf numFmtId="169" fontId="34" fillId="0" borderId="0" xfId="3" applyNumberFormat="1" applyFont="1" applyAlignment="1" applyProtection="1">
      <alignment horizontal="right" vertical="top" wrapText="1"/>
      <protection locked="0"/>
    </xf>
    <xf numFmtId="0" fontId="15" fillId="0" borderId="0" xfId="3" applyFont="1" applyAlignment="1" applyProtection="1">
      <alignment horizontal="left" vertical="top" wrapText="1"/>
      <protection locked="0"/>
    </xf>
    <xf numFmtId="170" fontId="31" fillId="0" borderId="7" xfId="0" applyNumberFormat="1" applyFont="1" applyBorder="1" applyAlignment="1">
      <alignment horizontal="left" vertical="center"/>
    </xf>
    <xf numFmtId="165" fontId="0" fillId="12" borderId="1" xfId="0" applyNumberFormat="1" applyFill="1" applyBorder="1" applyAlignment="1" applyProtection="1">
      <alignment vertical="center" shrinkToFit="1"/>
      <protection hidden="1"/>
    </xf>
    <xf numFmtId="165" fontId="0" fillId="10" borderId="1" xfId="1" applyNumberFormat="1" applyFont="1" applyFill="1" applyBorder="1" applyAlignment="1" applyProtection="1">
      <alignment vertical="center" shrinkToFit="1"/>
      <protection hidden="1"/>
    </xf>
    <xf numFmtId="165" fontId="0" fillId="0" borderId="0" xfId="0" applyNumberFormat="1" applyAlignment="1">
      <alignment horizontal="left" vertical="center"/>
    </xf>
    <xf numFmtId="170" fontId="0" fillId="0" borderId="0" xfId="0" applyNumberFormat="1"/>
    <xf numFmtId="3" fontId="0" fillId="0" borderId="1" xfId="0" applyNumberFormat="1" applyBorder="1" applyAlignment="1" applyProtection="1">
      <alignment horizontal="center" vertical="center" wrapText="1"/>
      <protection hidden="1"/>
    </xf>
    <xf numFmtId="171" fontId="0" fillId="0" borderId="1" xfId="0" applyNumberFormat="1" applyBorder="1" applyAlignment="1">
      <alignment horizontal="center"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3" xfId="0" applyBorder="1"/>
    <xf numFmtId="0" fontId="3" fillId="0" borderId="1" xfId="0" applyFont="1" applyBorder="1" applyAlignment="1">
      <alignment vertical="center"/>
    </xf>
    <xf numFmtId="0" fontId="3" fillId="0" borderId="0" xfId="0" applyFont="1" applyAlignment="1">
      <alignment horizontal="center"/>
    </xf>
    <xf numFmtId="165" fontId="0" fillId="0" borderId="0" xfId="0" applyNumberFormat="1"/>
    <xf numFmtId="165" fontId="0" fillId="2" borderId="1" xfId="1" applyNumberFormat="1" applyFont="1" applyFill="1" applyBorder="1" applyAlignment="1" applyProtection="1">
      <alignment vertical="center"/>
      <protection locked="0" hidden="1"/>
    </xf>
    <xf numFmtId="0" fontId="21" fillId="0" borderId="0" xfId="0" applyFont="1" applyAlignment="1">
      <alignment vertical="center"/>
    </xf>
    <xf numFmtId="0" fontId="0" fillId="13" borderId="1" xfId="0" applyFill="1" applyBorder="1" applyAlignment="1">
      <alignment horizontal="center" vertical="center" wrapText="1"/>
    </xf>
    <xf numFmtId="0" fontId="17" fillId="2" borderId="1" xfId="0" applyFont="1" applyFill="1" applyBorder="1" applyAlignment="1" applyProtection="1">
      <alignment horizontal="center"/>
      <protection hidden="1"/>
    </xf>
    <xf numFmtId="0" fontId="15" fillId="0" borderId="2" xfId="0" applyFont="1" applyBorder="1" applyAlignment="1" applyProtection="1">
      <alignment horizontal="left"/>
      <protection hidden="1"/>
    </xf>
    <xf numFmtId="0" fontId="17" fillId="8" borderId="2" xfId="0" applyFont="1" applyFill="1" applyBorder="1" applyAlignment="1" applyProtection="1">
      <alignment horizontal="center"/>
      <protection hidden="1"/>
    </xf>
    <xf numFmtId="0" fontId="19" fillId="0" borderId="10" xfId="0" applyFont="1" applyBorder="1" applyAlignment="1" applyProtection="1">
      <alignment horizontal="left"/>
      <protection hidden="1"/>
    </xf>
    <xf numFmtId="0" fontId="19" fillId="0" borderId="13" xfId="0" applyFont="1" applyBorder="1" applyAlignment="1" applyProtection="1">
      <alignment horizontal="left"/>
      <protection hidden="1"/>
    </xf>
    <xf numFmtId="0" fontId="19" fillId="0" borderId="12" xfId="0" applyFont="1" applyBorder="1" applyAlignment="1" applyProtection="1">
      <alignment horizontal="right"/>
      <protection hidden="1"/>
    </xf>
    <xf numFmtId="0" fontId="19" fillId="0" borderId="10" xfId="0" applyFont="1" applyBorder="1" applyAlignment="1" applyProtection="1">
      <alignment horizontal="right"/>
      <protection hidden="1"/>
    </xf>
    <xf numFmtId="0" fontId="17" fillId="0" borderId="1" xfId="0" applyFont="1" applyBorder="1" applyAlignment="1" applyProtection="1">
      <alignment horizontal="left"/>
      <protection hidden="1"/>
    </xf>
    <xf numFmtId="0" fontId="18" fillId="0" borderId="1" xfId="0" applyFont="1" applyBorder="1" applyAlignment="1" applyProtection="1">
      <alignment horizontal="left"/>
      <protection hidden="1"/>
    </xf>
    <xf numFmtId="0" fontId="0" fillId="0" borderId="4" xfId="0" applyBorder="1" applyAlignment="1" applyProtection="1">
      <alignment horizontal="left"/>
      <protection hidden="1"/>
    </xf>
    <xf numFmtId="0" fontId="0" fillId="0" borderId="14" xfId="0" applyBorder="1" applyAlignment="1" applyProtection="1">
      <alignment horizontal="left"/>
      <protection hidden="1"/>
    </xf>
    <xf numFmtId="0" fontId="0" fillId="13" borderId="1" xfId="0" applyFill="1" applyBorder="1" applyAlignment="1" applyProtection="1">
      <alignment horizontal="center" vertical="center"/>
      <protection hidden="1"/>
    </xf>
    <xf numFmtId="0" fontId="0" fillId="8" borderId="1" xfId="0" applyFill="1" applyBorder="1" applyAlignment="1">
      <alignment horizontal="left" vertical="center"/>
    </xf>
    <xf numFmtId="0" fontId="0" fillId="13" borderId="1" xfId="0" applyFill="1" applyBorder="1" applyAlignment="1">
      <alignment horizontal="center" vertical="center"/>
    </xf>
    <xf numFmtId="0" fontId="20" fillId="0" borderId="0" xfId="0" applyFont="1" applyAlignment="1" applyProtection="1">
      <alignment horizontal="center" vertical="center"/>
      <protection hidden="1"/>
    </xf>
    <xf numFmtId="14" fontId="18" fillId="2" borderId="12" xfId="0" applyNumberFormat="1" applyFont="1" applyFill="1" applyBorder="1" applyAlignment="1" applyProtection="1">
      <alignment horizontal="center" vertical="center"/>
      <protection locked="0"/>
    </xf>
    <xf numFmtId="0" fontId="18" fillId="2" borderId="13" xfId="0" applyFont="1" applyFill="1" applyBorder="1" applyAlignment="1" applyProtection="1">
      <alignment horizontal="center" vertical="center"/>
      <protection locked="0"/>
    </xf>
    <xf numFmtId="0" fontId="0" fillId="8" borderId="12" xfId="0" applyFill="1" applyBorder="1" applyAlignment="1">
      <alignment horizontal="left" vertical="center"/>
    </xf>
    <xf numFmtId="0" fontId="0" fillId="8" borderId="10" xfId="0" applyFill="1" applyBorder="1" applyAlignment="1">
      <alignment horizontal="left" vertical="center"/>
    </xf>
    <xf numFmtId="0" fontId="0" fillId="8" borderId="13" xfId="0" applyFill="1" applyBorder="1" applyAlignment="1">
      <alignment horizontal="left" vertical="center"/>
    </xf>
    <xf numFmtId="0" fontId="30" fillId="8" borderId="12" xfId="0" applyFont="1" applyFill="1" applyBorder="1" applyAlignment="1">
      <alignment horizontal="left" vertical="center"/>
    </xf>
    <xf numFmtId="0" fontId="30" fillId="8" borderId="10" xfId="0" applyFont="1" applyFill="1" applyBorder="1" applyAlignment="1">
      <alignment horizontal="left" vertical="center"/>
    </xf>
    <xf numFmtId="0" fontId="30" fillId="8" borderId="13" xfId="0" applyFont="1" applyFill="1" applyBorder="1" applyAlignment="1">
      <alignment horizontal="left" vertical="center"/>
    </xf>
    <xf numFmtId="0" fontId="0" fillId="2" borderId="1" xfId="0" applyFill="1" applyBorder="1" applyAlignment="1" applyProtection="1">
      <alignment horizontal="left" vertical="center"/>
      <protection locked="0"/>
    </xf>
    <xf numFmtId="0" fontId="0" fillId="0" borderId="0" xfId="0" applyAlignment="1" applyProtection="1">
      <alignment horizontal="right" vertical="center"/>
      <protection hidden="1"/>
    </xf>
    <xf numFmtId="0" fontId="1" fillId="0" borderId="0" xfId="0" applyFont="1" applyAlignment="1" applyProtection="1">
      <alignment horizontal="left" vertical="center"/>
      <protection hidden="1"/>
    </xf>
    <xf numFmtId="0" fontId="9" fillId="0" borderId="0" xfId="0" applyFont="1" applyAlignment="1" applyProtection="1">
      <alignment horizontal="right"/>
      <protection hidden="1"/>
    </xf>
    <xf numFmtId="0" fontId="9" fillId="5" borderId="1" xfId="0" applyFont="1" applyFill="1" applyBorder="1" applyAlignment="1">
      <alignment horizontal="center"/>
    </xf>
    <xf numFmtId="0" fontId="21" fillId="0" borderId="0" xfId="0" applyFont="1" applyAlignment="1">
      <alignment horizontal="center" vertical="center"/>
    </xf>
    <xf numFmtId="0" fontId="3" fillId="14" borderId="12" xfId="0" applyFont="1" applyFill="1" applyBorder="1" applyAlignment="1">
      <alignment horizontal="left" vertical="center"/>
    </xf>
    <xf numFmtId="0" fontId="3" fillId="14" borderId="13" xfId="0" applyFont="1" applyFill="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8" fillId="4" borderId="1" xfId="0" applyFont="1" applyFill="1" applyBorder="1" applyAlignment="1">
      <alignment horizontal="center"/>
    </xf>
    <xf numFmtId="0" fontId="8" fillId="18" borderId="1" xfId="0" applyFont="1" applyFill="1" applyBorder="1" applyAlignment="1">
      <alignment horizontal="center"/>
    </xf>
    <xf numFmtId="0" fontId="31" fillId="0" borderId="12" xfId="0" applyFont="1" applyBorder="1" applyAlignment="1">
      <alignment horizontal="center" vertical="center"/>
    </xf>
    <xf numFmtId="0" fontId="31" fillId="0" borderId="10" xfId="0" applyFont="1" applyBorder="1" applyAlignment="1">
      <alignment horizontal="center" vertical="center"/>
    </xf>
    <xf numFmtId="0" fontId="44" fillId="2" borderId="12" xfId="0" applyFont="1" applyFill="1" applyBorder="1" applyAlignment="1">
      <alignment horizontal="center" vertical="center"/>
    </xf>
    <xf numFmtId="0" fontId="44" fillId="2" borderId="10" xfId="0" applyFont="1" applyFill="1" applyBorder="1" applyAlignment="1">
      <alignment horizontal="center" vertical="center"/>
    </xf>
    <xf numFmtId="0" fontId="44" fillId="2" borderId="13" xfId="0" applyFont="1" applyFill="1" applyBorder="1" applyAlignment="1">
      <alignment horizontal="center" vertical="center"/>
    </xf>
    <xf numFmtId="0" fontId="0" fillId="0" borderId="14" xfId="0" applyBorder="1" applyAlignment="1">
      <alignment horizontal="center"/>
    </xf>
    <xf numFmtId="0" fontId="32" fillId="0" borderId="0" xfId="0" applyFont="1" applyAlignment="1">
      <alignment horizontal="center"/>
    </xf>
    <xf numFmtId="0" fontId="0" fillId="0" borderId="0" xfId="0" applyAlignment="1">
      <alignment horizontal="center"/>
    </xf>
    <xf numFmtId="0" fontId="0" fillId="2" borderId="0" xfId="0" applyFill="1" applyAlignment="1" applyProtection="1">
      <alignment horizontal="center"/>
      <protection locked="0"/>
    </xf>
    <xf numFmtId="0" fontId="25" fillId="0" borderId="0" xfId="0" applyFont="1" applyAlignment="1" applyProtection="1">
      <alignment vertical="center" wrapText="1"/>
      <protection hidden="1"/>
    </xf>
    <xf numFmtId="0" fontId="25" fillId="0" borderId="0" xfId="0" applyFont="1" applyAlignment="1" applyProtection="1">
      <alignment horizontal="center"/>
      <protection hidden="1"/>
    </xf>
    <xf numFmtId="0" fontId="25" fillId="0" borderId="0" xfId="0" applyFont="1" applyAlignment="1" applyProtection="1">
      <alignment horizontal="left"/>
      <protection hidden="1"/>
    </xf>
    <xf numFmtId="0" fontId="25" fillId="0" borderId="8" xfId="0" applyFont="1" applyBorder="1" applyAlignment="1" applyProtection="1">
      <alignment horizontal="left"/>
      <protection hidden="1"/>
    </xf>
    <xf numFmtId="0" fontId="24" fillId="0" borderId="0" xfId="0" applyFont="1" applyAlignment="1" applyProtection="1">
      <alignment horizontal="center"/>
      <protection hidden="1"/>
    </xf>
    <xf numFmtId="0" fontId="25" fillId="0" borderId="0" xfId="0" applyFont="1" applyAlignment="1" applyProtection="1">
      <alignment horizontal="left" vertical="center"/>
      <protection hidden="1"/>
    </xf>
    <xf numFmtId="0" fontId="25" fillId="0" borderId="0" xfId="0" applyFont="1" applyAlignment="1">
      <alignment horizontal="justify" wrapText="1"/>
    </xf>
    <xf numFmtId="0" fontId="25" fillId="2" borderId="0" xfId="0" applyFont="1" applyFill="1" applyAlignment="1" applyProtection="1">
      <alignment horizontal="center"/>
      <protection locked="0"/>
    </xf>
    <xf numFmtId="0" fontId="1" fillId="0" borderId="0" xfId="0" applyFont="1" applyAlignment="1" applyProtection="1">
      <alignment horizontal="center"/>
      <protection hidden="1"/>
    </xf>
    <xf numFmtId="0" fontId="25" fillId="0" borderId="0" xfId="0" applyFont="1" applyAlignment="1" applyProtection="1">
      <alignment horizontal="left" vertical="center" wrapText="1"/>
      <protection hidden="1"/>
    </xf>
    <xf numFmtId="0" fontId="28" fillId="0" borderId="0" xfId="0" applyFont="1" applyAlignment="1" applyProtection="1">
      <alignment horizontal="left"/>
      <protection hidden="1"/>
    </xf>
    <xf numFmtId="0" fontId="28" fillId="0" borderId="8" xfId="0" applyFont="1" applyBorder="1" applyAlignment="1" applyProtection="1">
      <alignment horizontal="left"/>
      <protection hidden="1"/>
    </xf>
    <xf numFmtId="0" fontId="15" fillId="0" borderId="22" xfId="3" applyFont="1" applyBorder="1" applyAlignment="1">
      <alignment horizontal="left" vertical="top" wrapText="1"/>
    </xf>
    <xf numFmtId="0" fontId="35" fillId="0" borderId="22" xfId="3" applyFont="1" applyBorder="1" applyAlignment="1">
      <alignment horizontal="left" vertical="top" wrapText="1"/>
    </xf>
    <xf numFmtId="168" fontId="40" fillId="0" borderId="0" xfId="3" applyNumberFormat="1" applyFont="1" applyAlignment="1">
      <alignment horizontal="center" vertical="center" shrinkToFit="1"/>
    </xf>
    <xf numFmtId="0" fontId="15" fillId="0" borderId="11" xfId="3" applyFont="1" applyBorder="1" applyAlignment="1">
      <alignment horizontal="left" vertical="top" wrapText="1"/>
    </xf>
    <xf numFmtId="0" fontId="15" fillId="0" borderId="7" xfId="3" applyFont="1" applyBorder="1" applyAlignment="1">
      <alignment horizontal="left" vertical="top" wrapText="1"/>
    </xf>
    <xf numFmtId="0" fontId="35" fillId="0" borderId="5" xfId="3" applyFont="1" applyBorder="1" applyAlignment="1">
      <alignment horizontal="center" vertical="center" wrapText="1"/>
    </xf>
    <xf numFmtId="0" fontId="35" fillId="0" borderId="0" xfId="3" applyFont="1" applyAlignment="1">
      <alignment horizontal="center" vertical="center" wrapText="1"/>
    </xf>
    <xf numFmtId="0" fontId="35" fillId="0" borderId="5" xfId="3" applyFont="1" applyBorder="1" applyAlignment="1">
      <alignment horizontal="left" vertical="center" wrapText="1"/>
    </xf>
    <xf numFmtId="0" fontId="35" fillId="0" borderId="0" xfId="3" applyFont="1" applyAlignment="1">
      <alignment horizontal="left" vertical="center" wrapText="1"/>
    </xf>
    <xf numFmtId="0" fontId="15" fillId="0" borderId="0" xfId="3" applyFont="1" applyAlignment="1">
      <alignment horizontal="left" vertical="top" wrapText="1"/>
    </xf>
    <xf numFmtId="0" fontId="15" fillId="0" borderId="8" xfId="3" applyFont="1" applyBorder="1" applyAlignment="1">
      <alignment horizontal="left" vertical="top" wrapText="1"/>
    </xf>
    <xf numFmtId="0" fontId="34" fillId="0" borderId="1" xfId="3" applyFont="1" applyBorder="1" applyAlignment="1">
      <alignment horizontal="center" vertical="top" wrapText="1"/>
    </xf>
    <xf numFmtId="0" fontId="15" fillId="0" borderId="16" xfId="3" applyFont="1" applyBorder="1" applyAlignment="1" applyProtection="1">
      <alignment horizontal="justify" vertical="top" wrapText="1"/>
      <protection locked="0"/>
    </xf>
    <xf numFmtId="0" fontId="35" fillId="0" borderId="17" xfId="3" applyFont="1" applyBorder="1" applyAlignment="1" applyProtection="1">
      <alignment horizontal="justify" vertical="top" wrapText="1"/>
      <protection locked="0"/>
    </xf>
    <xf numFmtId="0" fontId="35" fillId="0" borderId="18" xfId="3" applyFont="1" applyBorder="1" applyAlignment="1" applyProtection="1">
      <alignment horizontal="justify" vertical="top" wrapText="1"/>
      <protection locked="0"/>
    </xf>
    <xf numFmtId="0" fontId="15" fillId="0" borderId="19" xfId="3" applyFont="1" applyBorder="1" applyAlignment="1" applyProtection="1">
      <alignment horizontal="left" vertical="center" wrapText="1"/>
      <protection locked="0"/>
    </xf>
    <xf numFmtId="0" fontId="15" fillId="0" borderId="20" xfId="3" applyFont="1" applyBorder="1" applyAlignment="1" applyProtection="1">
      <alignment horizontal="left" vertical="center" wrapText="1"/>
      <protection locked="0"/>
    </xf>
    <xf numFmtId="0" fontId="15" fillId="0" borderId="21" xfId="3" applyFont="1" applyBorder="1" applyAlignment="1">
      <alignment horizontal="center" wrapText="1"/>
    </xf>
    <xf numFmtId="0" fontId="15" fillId="0" borderId="22" xfId="3" applyFont="1" applyBorder="1" applyAlignment="1">
      <alignment horizontal="center" wrapText="1"/>
    </xf>
    <xf numFmtId="0" fontId="15" fillId="0" borderId="23" xfId="3" applyFont="1" applyBorder="1" applyAlignment="1">
      <alignment horizontal="center" wrapText="1"/>
    </xf>
    <xf numFmtId="0" fontId="15" fillId="0" borderId="16" xfId="3" applyFont="1" applyBorder="1" applyAlignment="1">
      <alignment horizontal="center" wrapText="1"/>
    </xf>
    <xf numFmtId="0" fontId="15" fillId="0" borderId="17" xfId="3" applyFont="1" applyBorder="1" applyAlignment="1">
      <alignment horizontal="center" wrapText="1"/>
    </xf>
    <xf numFmtId="0" fontId="15" fillId="0" borderId="18" xfId="3" applyFont="1" applyBorder="1" applyAlignment="1">
      <alignment horizontal="center" wrapText="1"/>
    </xf>
    <xf numFmtId="0" fontId="15" fillId="0" borderId="19" xfId="3" applyFont="1" applyBorder="1" applyAlignment="1" applyProtection="1">
      <alignment horizontal="center" vertical="top" wrapText="1"/>
      <protection locked="0"/>
    </xf>
    <xf numFmtId="0" fontId="15" fillId="0" borderId="24" xfId="3" applyFont="1" applyBorder="1" applyAlignment="1" applyProtection="1">
      <alignment horizontal="center" vertical="top" wrapText="1"/>
      <protection locked="0"/>
    </xf>
    <xf numFmtId="0" fontId="15" fillId="0" borderId="20" xfId="3" applyFont="1" applyBorder="1" applyAlignment="1" applyProtection="1">
      <alignment horizontal="center" vertical="top" wrapText="1"/>
      <protection locked="0"/>
    </xf>
    <xf numFmtId="0" fontId="26" fillId="0" borderId="1" xfId="3" applyFont="1" applyBorder="1" applyAlignment="1">
      <alignment horizontal="center" vertical="top" wrapText="1"/>
    </xf>
    <xf numFmtId="0" fontId="37" fillId="0" borderId="12" xfId="3" applyFont="1" applyBorder="1" applyAlignment="1" applyProtection="1">
      <alignment horizontal="center" wrapText="1"/>
      <protection locked="0"/>
    </xf>
    <xf numFmtId="0" fontId="37" fillId="0" borderId="13" xfId="3" applyFont="1" applyBorder="1" applyAlignment="1" applyProtection="1">
      <alignment horizontal="center" wrapText="1"/>
      <protection locked="0"/>
    </xf>
    <xf numFmtId="0" fontId="37" fillId="0" borderId="12" xfId="3" applyFont="1" applyBorder="1" applyAlignment="1">
      <alignment horizontal="center" wrapText="1"/>
    </xf>
    <xf numFmtId="0" fontId="37" fillId="0" borderId="10" xfId="3" applyFont="1" applyBorder="1" applyAlignment="1">
      <alignment horizontal="center" wrapText="1"/>
    </xf>
    <xf numFmtId="0" fontId="37" fillId="0" borderId="13" xfId="3" applyFont="1" applyBorder="1" applyAlignment="1">
      <alignment horizontal="center" wrapText="1"/>
    </xf>
    <xf numFmtId="0" fontId="36" fillId="0" borderId="1" xfId="3" applyFont="1" applyBorder="1" applyAlignment="1">
      <alignment horizontal="center" vertical="top" wrapText="1"/>
    </xf>
    <xf numFmtId="0" fontId="35" fillId="0" borderId="1" xfId="3" applyFont="1" applyBorder="1" applyAlignment="1">
      <alignment horizontal="center" vertical="top" wrapText="1"/>
    </xf>
    <xf numFmtId="0" fontId="26" fillId="0" borderId="12" xfId="3" applyFont="1" applyBorder="1" applyAlignment="1">
      <alignment horizontal="center" vertical="top" wrapText="1"/>
    </xf>
    <xf numFmtId="0" fontId="26" fillId="0" borderId="13" xfId="3" applyFont="1" applyBorder="1" applyAlignment="1">
      <alignment horizontal="center" vertical="top" wrapText="1"/>
    </xf>
    <xf numFmtId="14" fontId="35" fillId="0" borderId="12" xfId="3" applyNumberFormat="1" applyFont="1" applyBorder="1" applyAlignment="1">
      <alignment horizontal="center" vertical="top"/>
    </xf>
    <xf numFmtId="14" fontId="35" fillId="0" borderId="13" xfId="3" applyNumberFormat="1" applyFont="1" applyBorder="1" applyAlignment="1">
      <alignment horizontal="center" vertical="top"/>
    </xf>
    <xf numFmtId="0" fontId="34" fillId="0" borderId="12" xfId="3" applyFont="1" applyBorder="1" applyAlignment="1">
      <alignment horizontal="center" vertical="top" wrapText="1"/>
    </xf>
    <xf numFmtId="0" fontId="34" fillId="0" borderId="10" xfId="3" applyFont="1" applyBorder="1" applyAlignment="1">
      <alignment horizontal="center" vertical="top" wrapText="1"/>
    </xf>
    <xf numFmtId="0" fontId="34" fillId="0" borderId="13" xfId="3" applyFont="1" applyBorder="1" applyAlignment="1">
      <alignment horizontal="center" vertical="top" wrapText="1"/>
    </xf>
    <xf numFmtId="0" fontId="15" fillId="0" borderId="6" xfId="3" applyFont="1" applyBorder="1" applyAlignment="1">
      <alignment horizontal="center" vertical="top" wrapText="1"/>
    </xf>
    <xf numFmtId="0" fontId="35" fillId="0" borderId="11" xfId="3" applyFont="1" applyBorder="1" applyAlignment="1">
      <alignment horizontal="center" vertical="top" wrapText="1"/>
    </xf>
    <xf numFmtId="0" fontId="35" fillId="0" borderId="7" xfId="3" applyFont="1" applyBorder="1" applyAlignment="1">
      <alignment horizontal="center" vertical="top" wrapText="1"/>
    </xf>
    <xf numFmtId="0" fontId="36" fillId="0" borderId="4" xfId="3" applyFont="1" applyBorder="1" applyAlignment="1">
      <alignment horizontal="center" vertical="top" wrapText="1"/>
    </xf>
    <xf numFmtId="0" fontId="36" fillId="0" borderId="14" xfId="3" applyFont="1" applyBorder="1" applyAlignment="1">
      <alignment horizontal="center" vertical="top"/>
    </xf>
    <xf numFmtId="0" fontId="36" fillId="0" borderId="9" xfId="3" applyFont="1" applyBorder="1" applyAlignment="1">
      <alignment horizontal="center" vertical="top"/>
    </xf>
    <xf numFmtId="0" fontId="35" fillId="0" borderId="12" xfId="3" applyFont="1" applyBorder="1" applyAlignment="1" applyProtection="1">
      <alignment horizontal="center" vertical="top" wrapText="1"/>
      <protection locked="0"/>
    </xf>
    <xf numFmtId="0" fontId="35" fillId="0" borderId="13" xfId="3" applyFont="1" applyBorder="1" applyAlignment="1" applyProtection="1">
      <alignment horizontal="center" vertical="top" wrapText="1"/>
      <protection locked="0"/>
    </xf>
    <xf numFmtId="0" fontId="35" fillId="0" borderId="12" xfId="3" applyFont="1" applyBorder="1" applyAlignment="1" applyProtection="1">
      <alignment horizontal="center" vertical="center" wrapText="1"/>
      <protection locked="0"/>
    </xf>
    <xf numFmtId="0" fontId="35" fillId="0" borderId="10" xfId="3" applyFont="1" applyBorder="1" applyAlignment="1" applyProtection="1">
      <alignment horizontal="center" vertical="center" wrapText="1"/>
      <protection locked="0"/>
    </xf>
    <xf numFmtId="0" fontId="35" fillId="0" borderId="13" xfId="3" applyFont="1" applyBorder="1" applyAlignment="1" applyProtection="1">
      <alignment horizontal="center" vertical="center" wrapText="1"/>
      <protection locked="0"/>
    </xf>
    <xf numFmtId="0" fontId="0" fillId="8" borderId="12" xfId="0" applyFill="1" applyBorder="1" applyAlignment="1" applyProtection="1">
      <alignment horizontal="center"/>
      <protection hidden="1"/>
    </xf>
    <xf numFmtId="0" fontId="0" fillId="8" borderId="10" xfId="0" applyFill="1" applyBorder="1" applyAlignment="1" applyProtection="1">
      <alignment horizontal="center"/>
      <protection hidden="1"/>
    </xf>
    <xf numFmtId="0" fontId="0" fillId="8" borderId="13" xfId="0" applyFill="1" applyBorder="1" applyAlignment="1" applyProtection="1">
      <alignment horizontal="center"/>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0" xfId="0" applyBorder="1" applyAlignment="1" applyProtection="1">
      <alignment horizontal="center"/>
      <protection hidden="1"/>
    </xf>
    <xf numFmtId="0" fontId="12" fillId="0" borderId="1" xfId="0" applyFont="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xf>
    <xf numFmtId="0" fontId="12" fillId="0" borderId="0" xfId="0" applyFont="1" applyAlignment="1">
      <alignment horizontal="left"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1" xfId="0" applyFont="1" applyBorder="1" applyAlignment="1">
      <alignment horizontal="left"/>
    </xf>
    <xf numFmtId="0" fontId="13" fillId="0" borderId="0" xfId="0" applyFont="1" applyAlignment="1">
      <alignment horizontal="center"/>
    </xf>
    <xf numFmtId="0" fontId="11" fillId="0" borderId="11" xfId="0" applyFont="1" applyBorder="1" applyAlignment="1">
      <alignment horizontal="center"/>
    </xf>
    <xf numFmtId="0" fontId="13" fillId="0" borderId="0" xfId="0" applyFont="1" applyAlignment="1">
      <alignment horizontal="left"/>
    </xf>
    <xf numFmtId="0" fontId="12" fillId="0" borderId="0" xfId="0" applyFont="1" applyAlignment="1">
      <alignment horizontal="left"/>
    </xf>
    <xf numFmtId="0" fontId="12" fillId="0" borderId="4" xfId="0" applyFont="1" applyBorder="1" applyAlignment="1">
      <alignment horizontal="left" vertical="center" wrapText="1"/>
    </xf>
    <xf numFmtId="0" fontId="12" fillId="0" borderId="9" xfId="0" applyFont="1" applyBorder="1" applyAlignment="1">
      <alignment horizontal="left" vertical="center" wrapText="1"/>
    </xf>
    <xf numFmtId="0" fontId="12" fillId="0" borderId="1" xfId="0" applyFont="1" applyBorder="1" applyAlignment="1">
      <alignment vertical="center" wrapText="1"/>
    </xf>
    <xf numFmtId="0" fontId="12" fillId="0" borderId="12" xfId="0" applyFont="1" applyBorder="1" applyAlignment="1">
      <alignment vertical="center" wrapText="1"/>
    </xf>
    <xf numFmtId="0" fontId="12" fillId="0" borderId="13" xfId="0" applyFont="1" applyBorder="1" applyAlignment="1">
      <alignment vertical="center" wrapText="1"/>
    </xf>
    <xf numFmtId="0" fontId="12" fillId="0" borderId="0" xfId="0" applyFont="1" applyAlignment="1">
      <alignment horizontal="center"/>
    </xf>
    <xf numFmtId="0" fontId="12" fillId="0" borderId="0" xfId="0" applyFont="1"/>
    <xf numFmtId="0" fontId="12" fillId="0" borderId="8" xfId="0" applyFont="1" applyBorder="1" applyAlignment="1">
      <alignment horizontal="left"/>
    </xf>
    <xf numFmtId="0" fontId="12" fillId="0" borderId="1" xfId="0" applyFont="1" applyBorder="1" applyAlignment="1">
      <alignment horizontal="center" vertical="center" wrapText="1"/>
    </xf>
    <xf numFmtId="0" fontId="12" fillId="0" borderId="6" xfId="0" applyFont="1" applyBorder="1" applyAlignment="1">
      <alignment horizontal="left"/>
    </xf>
    <xf numFmtId="0" fontId="12" fillId="0" borderId="7" xfId="0" applyFont="1" applyBorder="1" applyAlignment="1">
      <alignment horizontal="left"/>
    </xf>
    <xf numFmtId="0" fontId="12" fillId="0" borderId="6"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0" fontId="12" fillId="0" borderId="5" xfId="0" applyFont="1" applyBorder="1" applyAlignment="1">
      <alignment horizontal="left"/>
    </xf>
    <xf numFmtId="0" fontId="12" fillId="0" borderId="5" xfId="0" applyFont="1" applyBorder="1" applyAlignment="1">
      <alignment horizontal="center"/>
    </xf>
    <xf numFmtId="0" fontId="12" fillId="0" borderId="8" xfId="0" applyFont="1" applyBorder="1" applyAlignment="1">
      <alignment horizontal="center"/>
    </xf>
    <xf numFmtId="0" fontId="12" fillId="0" borderId="4" xfId="0" applyFont="1" applyBorder="1" applyAlignment="1">
      <alignment horizontal="left"/>
    </xf>
    <xf numFmtId="0" fontId="12" fillId="0" borderId="9" xfId="0" applyFont="1" applyBorder="1" applyAlignment="1">
      <alignment horizontal="left"/>
    </xf>
    <xf numFmtId="0" fontId="13" fillId="0" borderId="1"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4" fillId="0" borderId="1" xfId="0" applyFont="1" applyBorder="1" applyAlignment="1">
      <alignment horizontal="center" vertical="center"/>
    </xf>
    <xf numFmtId="0" fontId="11" fillId="0" borderId="14" xfId="0" applyFont="1" applyBorder="1" applyAlignment="1">
      <alignment horizontal="center"/>
    </xf>
    <xf numFmtId="0" fontId="12" fillId="0" borderId="14" xfId="0" applyFont="1" applyBorder="1" applyAlignment="1">
      <alignment horizontal="center"/>
    </xf>
  </cellXfs>
  <cellStyles count="5">
    <cellStyle name="Comma" xfId="1" builtinId="3"/>
    <cellStyle name="Currency 2" xfId="4" xr:uid="{32AB68B7-01C2-44EB-AAFA-B29F395FB4E5}"/>
    <cellStyle name="Normal" xfId="0" builtinId="0"/>
    <cellStyle name="Normal 2" xfId="3" xr:uid="{9D89D364-6F23-4FE4-85B3-91ED98657D89}"/>
    <cellStyle name="Percent" xfId="2" builtinId="5"/>
  </cellStyles>
  <dxfs count="4">
    <dxf>
      <font>
        <color rgb="FF9C0006"/>
      </font>
      <fill>
        <patternFill>
          <bgColor rgb="FFFFC7CE"/>
        </patternFill>
      </fill>
      <border>
        <left style="thin">
          <color auto="1"/>
        </left>
        <right style="thin">
          <color auto="1"/>
        </right>
        <top style="thin">
          <color auto="1"/>
        </top>
        <bottom style="thin">
          <color auto="1"/>
        </bottom>
      </border>
    </dxf>
    <dxf>
      <font>
        <color rgb="FF006100"/>
      </font>
      <fill>
        <patternFill>
          <bgColor rgb="FFC6EFCE"/>
        </patternFill>
      </fill>
    </dxf>
    <dxf>
      <font>
        <color rgb="FF9C0006"/>
      </font>
      <fill>
        <patternFill>
          <bgColor rgb="FFFFC7CE"/>
        </patternFill>
      </fill>
    </dxf>
    <dxf>
      <font>
        <color rgb="FF9C0006"/>
      </font>
      <fill>
        <patternFill>
          <bgColor rgb="FFFFC7CE"/>
        </patternFill>
      </fill>
      <border>
        <left style="thin">
          <color auto="1"/>
        </left>
        <right style="thin">
          <color auto="1"/>
        </right>
        <top style="thin">
          <color auto="1"/>
        </top>
        <bottom style="thin">
          <color auto="1"/>
        </bottom>
      </border>
    </dxf>
  </dxfs>
  <tableStyles count="0" defaultTableStyle="TableStyleMedium9" defaultPivotStyle="PivotStyleLight16"/>
  <colors>
    <mruColors>
      <color rgb="FFFFFF66"/>
      <color rgb="FF9AF42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88"/>
  <sheetViews>
    <sheetView showGridLines="0" tabSelected="1" topLeftCell="A23" workbookViewId="0">
      <selection activeCell="J34" sqref="J34"/>
    </sheetView>
  </sheetViews>
  <sheetFormatPr defaultColWidth="0" defaultRowHeight="14.4" x14ac:dyDescent="0.3"/>
  <cols>
    <col min="1" max="1" width="11.109375" customWidth="1"/>
    <col min="2" max="2" width="10.109375" customWidth="1"/>
    <col min="3" max="3" width="9.44140625" customWidth="1"/>
    <col min="4" max="4" width="10.44140625" bestFit="1" customWidth="1"/>
    <col min="5" max="6" width="8.88671875" customWidth="1"/>
    <col min="7" max="7" width="8.33203125" customWidth="1"/>
    <col min="8" max="8" width="1.109375" customWidth="1"/>
    <col min="9" max="9" width="28.109375" customWidth="1"/>
    <col min="10" max="11" width="9.109375" customWidth="1"/>
    <col min="12" max="14" width="9.109375" hidden="1" customWidth="1"/>
    <col min="15" max="15" width="15.109375" hidden="1" customWidth="1"/>
    <col min="16" max="16" width="28" hidden="1" customWidth="1"/>
    <col min="17" max="21" width="8.88671875" customWidth="1"/>
    <col min="22" max="22" width="8.88671875" hidden="1" customWidth="1"/>
    <col min="23" max="16384" width="8.88671875" hidden="1"/>
  </cols>
  <sheetData>
    <row r="1" spans="1:16" ht="21" customHeight="1" x14ac:dyDescent="0.3">
      <c r="A1" s="223" t="s">
        <v>114</v>
      </c>
      <c r="B1" s="223"/>
      <c r="C1" s="223"/>
      <c r="D1" s="223"/>
      <c r="E1" s="223"/>
      <c r="F1" s="223"/>
      <c r="I1" s="223" t="s">
        <v>42</v>
      </c>
      <c r="J1" s="223"/>
      <c r="N1" s="70" t="s">
        <v>5</v>
      </c>
      <c r="O1">
        <f>IF(D16="Y",O19,IF(D14="Y",("PAY LEVEL - "&amp;D9&amp;" &amp; PAY LEVEL - "&amp;D9+1),O17))</f>
        <v>0</v>
      </c>
      <c r="P1" t="s">
        <v>254</v>
      </c>
    </row>
    <row r="2" spans="1:16" ht="18" customHeight="1" x14ac:dyDescent="0.3">
      <c r="A2" s="34" t="s">
        <v>110</v>
      </c>
      <c r="B2" s="233"/>
      <c r="C2" s="233"/>
      <c r="D2" s="233"/>
      <c r="E2" s="233"/>
      <c r="F2" s="233"/>
      <c r="I2" s="9" t="s">
        <v>43</v>
      </c>
      <c r="J2" s="72">
        <f>STATEMENT!I22</f>
        <v>0</v>
      </c>
      <c r="N2" s="70">
        <v>16</v>
      </c>
      <c r="O2" t="s">
        <v>227</v>
      </c>
      <c r="P2" s="71" t="s">
        <v>242</v>
      </c>
    </row>
    <row r="3" spans="1:16" ht="18" customHeight="1" x14ac:dyDescent="0.3">
      <c r="A3" s="34" t="s">
        <v>111</v>
      </c>
      <c r="B3" s="233"/>
      <c r="C3" s="233"/>
      <c r="D3" s="233"/>
      <c r="E3" s="233"/>
      <c r="F3" s="233"/>
      <c r="I3" s="9" t="s">
        <v>44</v>
      </c>
      <c r="J3" s="36"/>
      <c r="N3" s="70">
        <v>15</v>
      </c>
      <c r="O3" t="s">
        <v>228</v>
      </c>
      <c r="P3" s="71" t="s">
        <v>243</v>
      </c>
    </row>
    <row r="4" spans="1:16" ht="18" customHeight="1" x14ac:dyDescent="0.3">
      <c r="A4" s="34" t="s">
        <v>113</v>
      </c>
      <c r="B4" s="233"/>
      <c r="C4" s="233"/>
      <c r="D4" s="233"/>
      <c r="E4" s="233"/>
      <c r="F4" s="233"/>
      <c r="I4" s="9" t="s">
        <v>45</v>
      </c>
      <c r="J4" s="36"/>
      <c r="N4" s="70">
        <v>14</v>
      </c>
      <c r="O4" t="s">
        <v>229</v>
      </c>
      <c r="P4" s="71" t="s">
        <v>244</v>
      </c>
    </row>
    <row r="5" spans="1:16" ht="18" customHeight="1" x14ac:dyDescent="0.3">
      <c r="A5" s="34" t="s">
        <v>112</v>
      </c>
      <c r="B5" s="233"/>
      <c r="C5" s="233"/>
      <c r="D5" s="233"/>
      <c r="E5" s="233"/>
      <c r="F5" s="233"/>
      <c r="I5" s="9" t="s">
        <v>46</v>
      </c>
      <c r="J5" s="36"/>
      <c r="N5" s="70">
        <v>12</v>
      </c>
      <c r="O5" t="s">
        <v>230</v>
      </c>
      <c r="P5" s="71" t="s">
        <v>245</v>
      </c>
    </row>
    <row r="6" spans="1:16" ht="18" customHeight="1" x14ac:dyDescent="0.3">
      <c r="A6" s="34" t="s">
        <v>258</v>
      </c>
      <c r="B6" s="233"/>
      <c r="C6" s="233"/>
      <c r="D6" s="233"/>
      <c r="E6" s="233"/>
      <c r="F6" s="233"/>
      <c r="I6" s="9" t="s">
        <v>47</v>
      </c>
      <c r="J6" s="36"/>
      <c r="N6" s="70">
        <v>11</v>
      </c>
      <c r="O6" t="s">
        <v>231</v>
      </c>
      <c r="P6" s="71" t="s">
        <v>246</v>
      </c>
    </row>
    <row r="7" spans="1:16" ht="18" customHeight="1" x14ac:dyDescent="0.3">
      <c r="I7" s="9" t="s">
        <v>48</v>
      </c>
      <c r="J7" s="36"/>
      <c r="N7" s="70">
        <v>10</v>
      </c>
      <c r="O7" t="s">
        <v>232</v>
      </c>
      <c r="P7" s="71" t="s">
        <v>247</v>
      </c>
    </row>
    <row r="8" spans="1:16" ht="18" customHeight="1" x14ac:dyDescent="0.3">
      <c r="A8" s="223" t="s">
        <v>108</v>
      </c>
      <c r="B8" s="223"/>
      <c r="C8" s="223"/>
      <c r="D8" s="223"/>
      <c r="G8" s="31"/>
      <c r="H8" s="31"/>
      <c r="I8" s="9" t="s">
        <v>22</v>
      </c>
      <c r="J8" s="36"/>
      <c r="L8" s="209" t="s">
        <v>285</v>
      </c>
      <c r="M8" s="209"/>
      <c r="N8" s="70">
        <v>9</v>
      </c>
      <c r="O8" t="s">
        <v>233</v>
      </c>
      <c r="P8" s="71" t="s">
        <v>248</v>
      </c>
    </row>
    <row r="9" spans="1:16" ht="18" customHeight="1" x14ac:dyDescent="0.3">
      <c r="A9" s="227" t="s">
        <v>91</v>
      </c>
      <c r="B9" s="228"/>
      <c r="C9" s="229"/>
      <c r="D9" s="11"/>
      <c r="G9" s="35"/>
      <c r="H9" s="35"/>
      <c r="I9" s="9" t="s">
        <v>24</v>
      </c>
      <c r="J9" s="36"/>
      <c r="L9" s="83"/>
      <c r="M9" s="83"/>
      <c r="N9" s="70">
        <v>8</v>
      </c>
      <c r="O9" t="s">
        <v>234</v>
      </c>
      <c r="P9" s="71" t="s">
        <v>249</v>
      </c>
    </row>
    <row r="10" spans="1:16" ht="18" customHeight="1" x14ac:dyDescent="0.3">
      <c r="A10" s="222" t="s">
        <v>86</v>
      </c>
      <c r="B10" s="222"/>
      <c r="C10" s="222"/>
      <c r="D10" s="36"/>
      <c r="G10" s="35"/>
      <c r="H10" s="35"/>
      <c r="I10" s="9" t="s">
        <v>49</v>
      </c>
      <c r="J10" s="36"/>
      <c r="L10" s="84"/>
      <c r="M10" s="83">
        <f>COUNTIF(D11:D16,"Y")</f>
        <v>1</v>
      </c>
      <c r="N10" s="70">
        <v>7</v>
      </c>
      <c r="O10" t="s">
        <v>235</v>
      </c>
      <c r="P10" s="71" t="s">
        <v>250</v>
      </c>
    </row>
    <row r="11" spans="1:16" ht="18" customHeight="1" x14ac:dyDescent="0.3">
      <c r="A11" s="222" t="s">
        <v>87</v>
      </c>
      <c r="B11" s="222"/>
      <c r="C11" s="222"/>
      <c r="D11" s="11" t="s">
        <v>225</v>
      </c>
      <c r="G11" s="35"/>
      <c r="H11" s="35"/>
      <c r="I11" s="9" t="s">
        <v>52</v>
      </c>
      <c r="J11" s="36"/>
      <c r="L11" s="85">
        <f>IF(F63&lt;7,B63,D10)</f>
        <v>0</v>
      </c>
      <c r="M11" s="83">
        <f>IF(D11="N",0,IF($M$10&gt;2,5,1))</f>
        <v>1</v>
      </c>
      <c r="N11" s="70">
        <v>6</v>
      </c>
      <c r="O11" t="s">
        <v>236</v>
      </c>
      <c r="P11" s="71" t="s">
        <v>251</v>
      </c>
    </row>
    <row r="12" spans="1:16" ht="18" customHeight="1" x14ac:dyDescent="0.3">
      <c r="A12" s="222" t="s">
        <v>88</v>
      </c>
      <c r="B12" s="222"/>
      <c r="C12" s="222"/>
      <c r="D12" s="11" t="s">
        <v>14</v>
      </c>
      <c r="G12" s="35"/>
      <c r="H12" s="35"/>
      <c r="I12" s="22" t="s">
        <v>53</v>
      </c>
      <c r="J12" s="195">
        <f>SUM(J2:J11)</f>
        <v>0</v>
      </c>
      <c r="L12" s="85">
        <f>L11+IF(MOD(L11*0.03,100)&gt;=50,L11*0.03-MOD(L11*0.03,100)+100,L11*0.03-MOD(L11*0.03,100))</f>
        <v>0</v>
      </c>
      <c r="M12" s="83">
        <f>IF(D12="N",0,IF(D12="Y",(IF(D11="Y",1,2)),IF($M$10&gt;2,5,1)))</f>
        <v>0</v>
      </c>
      <c r="N12" s="70">
        <v>5</v>
      </c>
      <c r="O12" t="s">
        <v>237</v>
      </c>
      <c r="P12" s="71" t="s">
        <v>252</v>
      </c>
    </row>
    <row r="13" spans="1:16" ht="18" customHeight="1" x14ac:dyDescent="0.3">
      <c r="A13" s="222" t="s">
        <v>101</v>
      </c>
      <c r="B13" s="222"/>
      <c r="C13" s="222"/>
      <c r="D13" s="37">
        <v>46224</v>
      </c>
      <c r="G13" s="35"/>
      <c r="H13" s="35"/>
      <c r="L13" s="85">
        <f>IF(M13&lt;44013,0,IF(M15&lt;44013,0,L12-L11))</f>
        <v>0</v>
      </c>
      <c r="M13" s="86">
        <f>IF(D12="N",44013,IF(D13=0,X,D13))</f>
        <v>44013</v>
      </c>
      <c r="N13" s="70">
        <v>4</v>
      </c>
      <c r="O13" t="s">
        <v>238</v>
      </c>
      <c r="P13" s="71" t="s">
        <v>253</v>
      </c>
    </row>
    <row r="14" spans="1:16" ht="18" customHeight="1" x14ac:dyDescent="0.3">
      <c r="A14" s="222" t="s">
        <v>94</v>
      </c>
      <c r="B14" s="222"/>
      <c r="C14" s="222"/>
      <c r="D14" s="11" t="s">
        <v>14</v>
      </c>
      <c r="G14" s="35"/>
      <c r="H14" s="35"/>
      <c r="I14" s="223" t="s">
        <v>54</v>
      </c>
      <c r="J14" s="223"/>
      <c r="L14" s="83"/>
      <c r="M14" s="83">
        <f>IF(D14="N",0,IF(D14="Y",(IF(D11="Y",2,3)),IF($M$10&gt;2,5,2)))</f>
        <v>0</v>
      </c>
      <c r="N14" s="70">
        <v>3</v>
      </c>
      <c r="O14" t="s">
        <v>239</v>
      </c>
      <c r="P14" s="71" t="s">
        <v>336</v>
      </c>
    </row>
    <row r="15" spans="1:16" ht="18" customHeight="1" x14ac:dyDescent="0.3">
      <c r="A15" s="222" t="s">
        <v>95</v>
      </c>
      <c r="B15" s="222"/>
      <c r="C15" s="222"/>
      <c r="D15" s="37">
        <v>46224</v>
      </c>
      <c r="G15" s="35"/>
      <c r="H15" s="35"/>
      <c r="I15" s="9" t="s">
        <v>28</v>
      </c>
      <c r="J15" s="36"/>
      <c r="L15" s="83"/>
      <c r="M15" s="86">
        <f>IF(D14="N",44013,IF(D15=0,X,D15))</f>
        <v>44013</v>
      </c>
      <c r="N15" s="70">
        <v>2</v>
      </c>
      <c r="O15" t="s">
        <v>240</v>
      </c>
      <c r="P15" s="71" t="s">
        <v>337</v>
      </c>
    </row>
    <row r="16" spans="1:16" ht="18" customHeight="1" x14ac:dyDescent="0.3">
      <c r="A16" s="222" t="s">
        <v>263</v>
      </c>
      <c r="B16" s="222"/>
      <c r="C16" s="222"/>
      <c r="D16" s="11" t="s">
        <v>14</v>
      </c>
      <c r="G16" s="35"/>
      <c r="H16" s="35"/>
      <c r="I16" s="9" t="s">
        <v>286</v>
      </c>
      <c r="J16" s="36"/>
      <c r="L16" s="84"/>
      <c r="M16" s="83">
        <f>(IF(D16="N",0,IF(D16="Y",(IF(D11="Y",3,4)),IF($M$10&gt;2,5,2))))</f>
        <v>0</v>
      </c>
      <c r="N16" s="70">
        <v>1</v>
      </c>
      <c r="O16" t="s">
        <v>241</v>
      </c>
    </row>
    <row r="17" spans="1:15" ht="18" customHeight="1" x14ac:dyDescent="0.3">
      <c r="A17" s="222" t="s">
        <v>340</v>
      </c>
      <c r="B17" s="222"/>
      <c r="C17" s="222"/>
      <c r="D17" s="11"/>
      <c r="G17" s="35"/>
      <c r="H17" s="35"/>
      <c r="I17" s="9" t="s">
        <v>30</v>
      </c>
      <c r="J17" s="46">
        <f>IF(J27&gt;=10000,10000,J27)</f>
        <v>0</v>
      </c>
      <c r="L17" s="84"/>
      <c r="M17" s="83"/>
      <c r="O17">
        <f>IF(D9=1,O2,IF(D9=2,O3,IF(D9=3,O4,IF(D9=4,O5,IF(D9=5,O6,IF(D9=6,O7,IF(D9=7,O8,IF(D9=8,O9,IF(D9=9,O10,IF(D9=10,O11,IF(D9=11,O12,IF(D9=12,O13,IF(D9=14,O14,IF(D9=15,O15,IF(D9=16,O16,0)))))))))))))))</f>
        <v>0</v>
      </c>
    </row>
    <row r="18" spans="1:15" ht="18" customHeight="1" x14ac:dyDescent="0.3">
      <c r="A18" s="222" t="s">
        <v>261</v>
      </c>
      <c r="B18" s="222"/>
      <c r="C18" s="222"/>
      <c r="D18" s="37">
        <v>46266</v>
      </c>
      <c r="G18" s="35"/>
      <c r="H18" s="35"/>
      <c r="I18" s="9" t="s">
        <v>31</v>
      </c>
      <c r="J18" s="36"/>
      <c r="L18" s="83"/>
      <c r="M18" s="86">
        <f>IF(D16="N",44013,IF(D18=0,X,D18))</f>
        <v>44013</v>
      </c>
      <c r="N18" s="70" t="s">
        <v>225</v>
      </c>
      <c r="O18">
        <f>IF(D17=1,O2,IF(D17=2,O3,IF(D17=3,O4,IF(D17=4,O5,IF(D17=5,O6,IF(D17=6,O7,IF(D17=7,O8,IF(D17=8,O9,IF(D17=9,O10,IF(D17=10,O11,IF(D17=11,O12,IF(D17=12,O13,IF(D17=14,O14,IF(D17=15,O15,IF(D17=16,O16,0)))))))))))))))</f>
        <v>0</v>
      </c>
    </row>
    <row r="19" spans="1:15" ht="18" customHeight="1" x14ac:dyDescent="0.3">
      <c r="A19" s="227" t="s">
        <v>283</v>
      </c>
      <c r="B19" s="228"/>
      <c r="C19" s="81" t="s">
        <v>281</v>
      </c>
      <c r="D19" s="36">
        <v>0</v>
      </c>
      <c r="G19" s="35"/>
      <c r="H19" s="35"/>
      <c r="I19" s="9" t="s">
        <v>32</v>
      </c>
      <c r="J19" s="36"/>
      <c r="L19" s="87">
        <f>12000-D19</f>
        <v>12000</v>
      </c>
      <c r="M19" s="83"/>
      <c r="N19" s="70" t="s">
        <v>14</v>
      </c>
      <c r="O19" t="str">
        <f>O17 &amp; " " &amp; "&amp;" &amp; " " &amp; O18</f>
        <v>0 &amp; 0</v>
      </c>
    </row>
    <row r="20" spans="1:15" ht="18" customHeight="1" x14ac:dyDescent="0.3">
      <c r="A20" s="227" t="s">
        <v>283</v>
      </c>
      <c r="B20" s="228"/>
      <c r="C20" s="81" t="s">
        <v>282</v>
      </c>
      <c r="D20" s="36">
        <v>0</v>
      </c>
      <c r="G20" s="35"/>
      <c r="H20" s="35"/>
      <c r="I20" s="9" t="s">
        <v>287</v>
      </c>
      <c r="J20" s="36"/>
      <c r="L20" s="87">
        <f>IF(D20=0,L19,12000-D20)</f>
        <v>12000</v>
      </c>
      <c r="M20" s="84"/>
    </row>
    <row r="21" spans="1:15" ht="18" customHeight="1" x14ac:dyDescent="0.3">
      <c r="A21" s="222" t="s">
        <v>65</v>
      </c>
      <c r="B21" s="222"/>
      <c r="C21" s="222"/>
      <c r="D21" s="11" t="s">
        <v>14</v>
      </c>
      <c r="G21" s="35"/>
      <c r="H21" s="35"/>
      <c r="I21" s="22" t="s">
        <v>55</v>
      </c>
      <c r="J21" s="195">
        <f>SUM(J15:J20)</f>
        <v>0</v>
      </c>
      <c r="L21" s="87">
        <f>IF((IF(D23=0,0,D23*12-ROUND((STATEMENT!B22+STATEMENT!C22)*0.1,0)))&lt;=0,0,(IF(D23=0,0,D23*12-ROUND((STATEMENT!B22+STATEMENT!C22)*0.1,0))))</f>
        <v>0</v>
      </c>
      <c r="M21" s="88" t="str">
        <f>IF(D24&gt;0,"N","Y")</f>
        <v>Y</v>
      </c>
    </row>
    <row r="22" spans="1:15" ht="18" customHeight="1" x14ac:dyDescent="0.3">
      <c r="A22" s="222" t="s">
        <v>107</v>
      </c>
      <c r="B22" s="222"/>
      <c r="C22" s="222"/>
      <c r="D22" s="11" t="s">
        <v>14</v>
      </c>
      <c r="G22" s="35"/>
      <c r="H22" s="35"/>
      <c r="L22" s="83"/>
      <c r="M22" s="83"/>
    </row>
    <row r="23" spans="1:15" ht="18" customHeight="1" x14ac:dyDescent="0.3">
      <c r="A23" s="227" t="s">
        <v>255</v>
      </c>
      <c r="B23" s="228"/>
      <c r="C23" s="229"/>
      <c r="D23" s="38">
        <v>0</v>
      </c>
      <c r="G23" s="31"/>
      <c r="H23" s="31"/>
      <c r="I23" s="223" t="s">
        <v>57</v>
      </c>
      <c r="J23" s="223"/>
      <c r="L23" s="83"/>
      <c r="M23" s="83"/>
    </row>
    <row r="24" spans="1:15" ht="18" customHeight="1" x14ac:dyDescent="0.3">
      <c r="A24" s="222" t="s">
        <v>226</v>
      </c>
      <c r="B24" s="222"/>
      <c r="C24" s="222"/>
      <c r="D24" s="38">
        <v>0</v>
      </c>
      <c r="G24" s="31"/>
      <c r="H24" s="31"/>
      <c r="I24" s="9" t="s">
        <v>58</v>
      </c>
      <c r="J24" s="36"/>
      <c r="L24" s="83"/>
      <c r="M24" s="83"/>
    </row>
    <row r="25" spans="1:15" ht="18" customHeight="1" x14ac:dyDescent="0.3">
      <c r="A25" s="222" t="s">
        <v>273</v>
      </c>
      <c r="B25" s="222"/>
      <c r="C25" s="222"/>
      <c r="D25" s="38">
        <v>0</v>
      </c>
      <c r="L25" s="84"/>
      <c r="M25" s="84"/>
    </row>
    <row r="26" spans="1:15" ht="18" customHeight="1" x14ac:dyDescent="0.3">
      <c r="A26" s="222" t="s">
        <v>116</v>
      </c>
      <c r="B26" s="222"/>
      <c r="C26" s="222"/>
      <c r="D26" s="38">
        <v>0</v>
      </c>
      <c r="I26" s="223" t="s">
        <v>34</v>
      </c>
      <c r="J26" s="223"/>
      <c r="L26" s="84"/>
      <c r="M26" s="84"/>
    </row>
    <row r="27" spans="1:15" ht="18" customHeight="1" x14ac:dyDescent="0.3">
      <c r="A27" s="222" t="s">
        <v>284</v>
      </c>
      <c r="B27" s="222"/>
      <c r="C27" s="222"/>
      <c r="D27" s="38">
        <v>11</v>
      </c>
      <c r="I27" s="9" t="s">
        <v>117</v>
      </c>
      <c r="J27" s="36"/>
      <c r="L27" s="84"/>
      <c r="M27" s="84"/>
    </row>
    <row r="28" spans="1:15" ht="18" customHeight="1" x14ac:dyDescent="0.3">
      <c r="I28" s="9" t="s">
        <v>343</v>
      </c>
      <c r="J28" s="36"/>
    </row>
    <row r="29" spans="1:15" ht="18" customHeight="1" x14ac:dyDescent="0.3">
      <c r="A29" s="230" t="s">
        <v>460</v>
      </c>
      <c r="B29" s="231"/>
      <c r="C29" s="231"/>
      <c r="D29" s="232"/>
      <c r="E29" s="225">
        <v>46082</v>
      </c>
      <c r="F29" s="226"/>
      <c r="I29" s="9" t="s">
        <v>118</v>
      </c>
      <c r="J29" s="36"/>
    </row>
    <row r="30" spans="1:15" ht="18" customHeight="1" x14ac:dyDescent="0.3">
      <c r="I30" s="9" t="s">
        <v>345</v>
      </c>
      <c r="J30" s="36"/>
    </row>
    <row r="31" spans="1:15" ht="18" customHeight="1" x14ac:dyDescent="0.3">
      <c r="A31" s="23" t="s">
        <v>70</v>
      </c>
      <c r="B31" s="23" t="s">
        <v>0</v>
      </c>
      <c r="C31" s="23" t="s">
        <v>259</v>
      </c>
      <c r="D31" s="23" t="s">
        <v>50</v>
      </c>
      <c r="E31" s="23" t="s">
        <v>51</v>
      </c>
      <c r="F31" s="23" t="s">
        <v>115</v>
      </c>
      <c r="G31" s="23" t="s">
        <v>436</v>
      </c>
      <c r="I31" s="22" t="s">
        <v>120</v>
      </c>
      <c r="J31" s="195">
        <f>SUM(J27:J30)</f>
        <v>0</v>
      </c>
    </row>
    <row r="32" spans="1:15" ht="18" customHeight="1" x14ac:dyDescent="0.3">
      <c r="A32" s="123">
        <f>IF(E29=0,"-",EDATE(E29,0))</f>
        <v>46082</v>
      </c>
      <c r="B32" s="95">
        <v>0.18</v>
      </c>
      <c r="C32" s="39">
        <v>0</v>
      </c>
      <c r="D32" s="39"/>
      <c r="E32" s="39">
        <v>0</v>
      </c>
      <c r="F32" s="39">
        <v>0</v>
      </c>
      <c r="G32" s="177">
        <v>0</v>
      </c>
    </row>
    <row r="33" spans="1:10" ht="18" customHeight="1" x14ac:dyDescent="0.3">
      <c r="A33" s="123">
        <f>IF($E$29=0,"-",EDATE(A32,1))</f>
        <v>46113</v>
      </c>
      <c r="B33" s="95">
        <f t="shared" ref="B33:B43" si="0">B32</f>
        <v>0.18</v>
      </c>
      <c r="C33" s="40">
        <f>C32</f>
        <v>0</v>
      </c>
      <c r="D33" s="40">
        <f>D32</f>
        <v>0</v>
      </c>
      <c r="E33" s="40">
        <f t="shared" ref="E33:G43" si="1">E32</f>
        <v>0</v>
      </c>
      <c r="F33" s="40">
        <f t="shared" si="1"/>
        <v>0</v>
      </c>
      <c r="G33" s="40"/>
      <c r="I33" s="223" t="s">
        <v>341</v>
      </c>
      <c r="J33" s="223"/>
    </row>
    <row r="34" spans="1:10" ht="18" customHeight="1" x14ac:dyDescent="0.3">
      <c r="A34" s="123">
        <f t="shared" ref="A34:A43" si="2">IF($E$29=0,"-",EDATE(A33,1))</f>
        <v>46143</v>
      </c>
      <c r="B34" s="95">
        <f t="shared" si="0"/>
        <v>0.18</v>
      </c>
      <c r="C34" s="40">
        <f t="shared" ref="C34:D43" si="3">C33</f>
        <v>0</v>
      </c>
      <c r="D34" s="40">
        <f t="shared" si="3"/>
        <v>0</v>
      </c>
      <c r="E34" s="40">
        <f t="shared" si="1"/>
        <v>0</v>
      </c>
      <c r="F34" s="40">
        <f t="shared" si="1"/>
        <v>0</v>
      </c>
      <c r="G34" s="40">
        <f t="shared" si="1"/>
        <v>0</v>
      </c>
      <c r="I34" s="9" t="s">
        <v>457</v>
      </c>
      <c r="J34" s="36"/>
    </row>
    <row r="35" spans="1:10" ht="18" customHeight="1" x14ac:dyDescent="0.3">
      <c r="A35" s="123">
        <f t="shared" si="2"/>
        <v>46174</v>
      </c>
      <c r="B35" s="95">
        <f t="shared" si="0"/>
        <v>0.18</v>
      </c>
      <c r="C35" s="40">
        <f t="shared" si="3"/>
        <v>0</v>
      </c>
      <c r="D35" s="40">
        <f t="shared" si="3"/>
        <v>0</v>
      </c>
      <c r="E35" s="40">
        <f t="shared" si="1"/>
        <v>0</v>
      </c>
      <c r="F35" s="40">
        <f t="shared" si="1"/>
        <v>0</v>
      </c>
      <c r="G35" s="40">
        <f t="shared" si="1"/>
        <v>0</v>
      </c>
      <c r="I35" s="9" t="s">
        <v>458</v>
      </c>
      <c r="J35" s="36"/>
    </row>
    <row r="36" spans="1:10" ht="18" customHeight="1" x14ac:dyDescent="0.3">
      <c r="A36" s="123">
        <f t="shared" si="2"/>
        <v>46204</v>
      </c>
      <c r="B36" s="95">
        <f t="shared" si="0"/>
        <v>0.18</v>
      </c>
      <c r="C36" s="40">
        <f t="shared" si="3"/>
        <v>0</v>
      </c>
      <c r="D36" s="40">
        <f t="shared" si="3"/>
        <v>0</v>
      </c>
      <c r="E36" s="40">
        <f t="shared" si="1"/>
        <v>0</v>
      </c>
      <c r="F36" s="40">
        <f t="shared" si="1"/>
        <v>0</v>
      </c>
      <c r="G36" s="40">
        <f t="shared" si="1"/>
        <v>0</v>
      </c>
    </row>
    <row r="37" spans="1:10" ht="18" customHeight="1" x14ac:dyDescent="0.3">
      <c r="A37" s="123">
        <f t="shared" si="2"/>
        <v>46235</v>
      </c>
      <c r="B37" s="95">
        <f t="shared" si="0"/>
        <v>0.18</v>
      </c>
      <c r="C37" s="40">
        <f t="shared" si="3"/>
        <v>0</v>
      </c>
      <c r="D37" s="40">
        <f t="shared" si="3"/>
        <v>0</v>
      </c>
      <c r="E37" s="40">
        <f t="shared" si="1"/>
        <v>0</v>
      </c>
      <c r="F37" s="40">
        <f t="shared" si="1"/>
        <v>0</v>
      </c>
      <c r="G37" s="40">
        <f t="shared" si="1"/>
        <v>0</v>
      </c>
    </row>
    <row r="38" spans="1:10" ht="18" customHeight="1" x14ac:dyDescent="0.3">
      <c r="A38" s="123">
        <f t="shared" si="2"/>
        <v>46266</v>
      </c>
      <c r="B38" s="95">
        <f t="shared" si="0"/>
        <v>0.18</v>
      </c>
      <c r="C38" s="40">
        <f t="shared" si="3"/>
        <v>0</v>
      </c>
      <c r="D38" s="40">
        <f t="shared" si="3"/>
        <v>0</v>
      </c>
      <c r="E38" s="40">
        <f t="shared" si="1"/>
        <v>0</v>
      </c>
      <c r="F38" s="40">
        <f t="shared" si="1"/>
        <v>0</v>
      </c>
      <c r="G38" s="40">
        <f t="shared" si="1"/>
        <v>0</v>
      </c>
    </row>
    <row r="39" spans="1:10" ht="18" customHeight="1" x14ac:dyDescent="0.3">
      <c r="A39" s="123">
        <f t="shared" si="2"/>
        <v>46296</v>
      </c>
      <c r="B39" s="95">
        <v>0.38</v>
      </c>
      <c r="C39" s="40">
        <f t="shared" si="3"/>
        <v>0</v>
      </c>
      <c r="D39" s="40">
        <f t="shared" si="3"/>
        <v>0</v>
      </c>
      <c r="E39" s="40">
        <f t="shared" si="1"/>
        <v>0</v>
      </c>
      <c r="F39" s="40">
        <f t="shared" si="1"/>
        <v>0</v>
      </c>
      <c r="G39" s="40">
        <f>G38</f>
        <v>0</v>
      </c>
    </row>
    <row r="40" spans="1:10" ht="18" customHeight="1" x14ac:dyDescent="0.3">
      <c r="A40" s="123">
        <f t="shared" si="2"/>
        <v>46327</v>
      </c>
      <c r="B40" s="95">
        <f t="shared" si="0"/>
        <v>0.38</v>
      </c>
      <c r="C40" s="40">
        <f t="shared" si="3"/>
        <v>0</v>
      </c>
      <c r="D40" s="40">
        <f t="shared" si="3"/>
        <v>0</v>
      </c>
      <c r="E40" s="40">
        <f t="shared" si="1"/>
        <v>0</v>
      </c>
      <c r="F40" s="40">
        <f t="shared" si="1"/>
        <v>0</v>
      </c>
      <c r="G40" s="40">
        <f t="shared" ref="G40" si="4">G39</f>
        <v>0</v>
      </c>
      <c r="I40" s="224" t="str">
        <f ca="1">"Today is " &amp; TEXT(TODAY(), "dd-mmm-yyyy")</f>
        <v>Today is 11-Jul-2026</v>
      </c>
      <c r="J40" s="224"/>
    </row>
    <row r="41" spans="1:10" ht="18" customHeight="1" x14ac:dyDescent="0.3">
      <c r="A41" s="123">
        <f t="shared" si="2"/>
        <v>46357</v>
      </c>
      <c r="B41" s="95">
        <f t="shared" si="0"/>
        <v>0.38</v>
      </c>
      <c r="C41" s="40">
        <f t="shared" si="3"/>
        <v>0</v>
      </c>
      <c r="D41" s="40">
        <f t="shared" si="3"/>
        <v>0</v>
      </c>
      <c r="E41" s="40">
        <f t="shared" si="1"/>
        <v>0</v>
      </c>
      <c r="F41" s="40">
        <f t="shared" si="1"/>
        <v>0</v>
      </c>
      <c r="G41" s="40">
        <f t="shared" ref="G41" si="5">G40</f>
        <v>0</v>
      </c>
      <c r="I41" s="8"/>
      <c r="J41" s="8"/>
    </row>
    <row r="42" spans="1:10" ht="18" customHeight="1" x14ac:dyDescent="0.3">
      <c r="A42" s="123">
        <f t="shared" si="2"/>
        <v>46388</v>
      </c>
      <c r="B42" s="95">
        <f t="shared" si="0"/>
        <v>0.38</v>
      </c>
      <c r="C42" s="40">
        <f t="shared" si="3"/>
        <v>0</v>
      </c>
      <c r="D42" s="40">
        <f t="shared" si="3"/>
        <v>0</v>
      </c>
      <c r="E42" s="40">
        <f t="shared" si="1"/>
        <v>0</v>
      </c>
      <c r="F42" s="40">
        <f t="shared" si="1"/>
        <v>0</v>
      </c>
      <c r="G42" s="40">
        <f t="shared" ref="G42" si="6">G41</f>
        <v>0</v>
      </c>
      <c r="I42" s="224" t="s">
        <v>278</v>
      </c>
      <c r="J42" s="224"/>
    </row>
    <row r="43" spans="1:10" ht="18" customHeight="1" x14ac:dyDescent="0.3">
      <c r="A43" s="123">
        <f t="shared" si="2"/>
        <v>46419</v>
      </c>
      <c r="B43" s="95">
        <f t="shared" si="0"/>
        <v>0.38</v>
      </c>
      <c r="C43" s="40">
        <f t="shared" si="3"/>
        <v>0</v>
      </c>
      <c r="D43" s="40">
        <f t="shared" si="3"/>
        <v>0</v>
      </c>
      <c r="E43" s="40">
        <f t="shared" si="1"/>
        <v>0</v>
      </c>
      <c r="F43" s="40">
        <f t="shared" si="1"/>
        <v>0</v>
      </c>
      <c r="G43" s="177"/>
      <c r="I43" s="224" t="s">
        <v>461</v>
      </c>
      <c r="J43" s="224"/>
    </row>
    <row r="44" spans="1:10" ht="6" customHeight="1" x14ac:dyDescent="0.3"/>
    <row r="45" spans="1:10" hidden="1" x14ac:dyDescent="0.3">
      <c r="A45" s="7"/>
      <c r="B45" s="30">
        <v>4</v>
      </c>
      <c r="C45" s="30">
        <v>3</v>
      </c>
      <c r="D45" s="30">
        <v>2</v>
      </c>
      <c r="E45" s="30">
        <v>1</v>
      </c>
      <c r="F45" s="30">
        <v>0</v>
      </c>
      <c r="G45" s="41">
        <f>M11+M12+M14+M16</f>
        <v>1</v>
      </c>
      <c r="H45" s="41"/>
      <c r="I45" s="127">
        <f>MONTH(E29)</f>
        <v>3</v>
      </c>
    </row>
    <row r="46" spans="1:10" hidden="1" x14ac:dyDescent="0.3">
      <c r="A46" s="42" t="s">
        <v>70</v>
      </c>
      <c r="B46" s="42" t="s">
        <v>262</v>
      </c>
      <c r="C46" s="42" t="s">
        <v>96</v>
      </c>
      <c r="D46" s="42" t="s">
        <v>103</v>
      </c>
      <c r="E46" s="42" t="s">
        <v>104</v>
      </c>
      <c r="F46" s="42" t="s">
        <v>105</v>
      </c>
      <c r="G46" s="42" t="s">
        <v>106</v>
      </c>
      <c r="H46" s="42"/>
      <c r="I46" s="42" t="s">
        <v>339</v>
      </c>
    </row>
    <row r="47" spans="1:10" hidden="1" x14ac:dyDescent="0.3">
      <c r="A47" s="43" t="s">
        <v>16</v>
      </c>
      <c r="B47" s="44">
        <f>IF($D$16="N",D10,IF($F$73=3,$B$74,D10))</f>
        <v>0</v>
      </c>
      <c r="C47" s="44">
        <f>IF($D$14="N",D10,IF($F$68=3,$B$69,D10))</f>
        <v>0</v>
      </c>
      <c r="D47" s="44">
        <f>IF($D$12="N",D10,IF($F$63=3,$B$64,D10))</f>
        <v>0</v>
      </c>
      <c r="E47" s="44">
        <f>D10</f>
        <v>0</v>
      </c>
      <c r="F47" s="44">
        <f>D10</f>
        <v>0</v>
      </c>
      <c r="G47" s="7">
        <f t="shared" ref="G47:G59" si="7">IF($G$45=0,F47,IF($G$45=1,E47,IF($G$45=2,D47,IF($G$45=3,C47,IF($G$45=4,B47,0)))))</f>
        <v>0</v>
      </c>
      <c r="H47" s="7"/>
      <c r="I47" s="127">
        <f>IF($I$45=3,G47,IF($I$45=4,G48,0))</f>
        <v>0</v>
      </c>
    </row>
    <row r="48" spans="1:10" hidden="1" x14ac:dyDescent="0.3">
      <c r="A48" s="43" t="s">
        <v>17</v>
      </c>
      <c r="B48" s="44">
        <f>IF($D$16="N",B47,IF($F$73=4,$B$74,IF($F$73&lt;4,$B$73,B47)))</f>
        <v>0</v>
      </c>
      <c r="C48" s="44">
        <f>IF($D$14="N",C47,IF($F$68=4,$B$69,IF($F$68&lt;4,$B$68,C47)))</f>
        <v>0</v>
      </c>
      <c r="D48" s="44">
        <f>IF($D$12="N",D47,IF($F$63=4,$B$64,IF($F$63&lt;4,$B$63,D47)))</f>
        <v>0</v>
      </c>
      <c r="E48" s="44">
        <f>E47</f>
        <v>0</v>
      </c>
      <c r="F48" s="44">
        <f>F47</f>
        <v>0</v>
      </c>
      <c r="G48" s="7">
        <f t="shared" si="7"/>
        <v>0</v>
      </c>
      <c r="H48" s="7"/>
      <c r="I48" s="127">
        <f t="shared" ref="I48:I58" si="8">IF($I$45=3,G48,IF($I$45=4,G49,0))</f>
        <v>0</v>
      </c>
    </row>
    <row r="49" spans="1:9" hidden="1" x14ac:dyDescent="0.3">
      <c r="A49" s="43" t="s">
        <v>18</v>
      </c>
      <c r="B49" s="44">
        <f>IF($D$16="N",B48,IF($F$73=5,$B$74,IF($F$73&lt;5,$B$73,B48)))</f>
        <v>0</v>
      </c>
      <c r="C49" s="44">
        <f>IF($D$14="N",C48,IF($F$68=5,$B$69,IF($F$68&lt;5,$B$68,C48)))</f>
        <v>0</v>
      </c>
      <c r="D49" s="44">
        <f>IF($D$12="N",D48,IF($F$63=5,$B$64,IF($F$63&lt;5,$B$63,D48)))</f>
        <v>0</v>
      </c>
      <c r="E49" s="44">
        <f>E48</f>
        <v>0</v>
      </c>
      <c r="F49" s="44">
        <f t="shared" ref="F49:F59" si="9">F48</f>
        <v>0</v>
      </c>
      <c r="G49" s="7">
        <f t="shared" si="7"/>
        <v>0</v>
      </c>
      <c r="H49" s="7"/>
      <c r="I49" s="127">
        <f t="shared" si="8"/>
        <v>0</v>
      </c>
    </row>
    <row r="50" spans="1:9" hidden="1" x14ac:dyDescent="0.3">
      <c r="A50" s="43" t="s">
        <v>20</v>
      </c>
      <c r="B50" s="44">
        <f>IF($D$16="N",B49,IF($F$73=6,$B$74,IF($F$73&lt;6,$B$73,B49)))</f>
        <v>0</v>
      </c>
      <c r="C50" s="44">
        <f>IF($D$14="N",C49,IF($F$68=6,$B$69,IF($F$68&lt;6,$B$68,C49)))</f>
        <v>0</v>
      </c>
      <c r="D50" s="44">
        <f>IF($D$12="N",D49,IF($F$63=6,$B$64,IF($F$63&lt;6,$B$63,D49)))</f>
        <v>0</v>
      </c>
      <c r="E50" s="44">
        <f>E49</f>
        <v>0</v>
      </c>
      <c r="F50" s="44">
        <f t="shared" si="9"/>
        <v>0</v>
      </c>
      <c r="G50" s="7">
        <f t="shared" si="7"/>
        <v>0</v>
      </c>
      <c r="H50" s="7"/>
      <c r="I50" s="127">
        <f t="shared" si="8"/>
        <v>0</v>
      </c>
    </row>
    <row r="51" spans="1:9" hidden="1" x14ac:dyDescent="0.3">
      <c r="A51" s="43" t="s">
        <v>21</v>
      </c>
      <c r="B51" s="44">
        <f>IF($D$16="N",(IF(D11="Y",B50+B75,B50)),IF($F$73=7,$B$74,IF($F$73&lt;7,$B$73,B50)))+IF(D11="N",0,B75)</f>
        <v>0</v>
      </c>
      <c r="C51" s="44">
        <f>IF($D$14="N",(IF(D11="Y",C50+L13,C50)),IF($F$68=7,$B$69,IF($F$68&lt;7,$B$68,C50)))+IF(F68=7,0,(IF(D14="Y",(IF(D11="Y",L13,0)),0)))</f>
        <v>0</v>
      </c>
      <c r="D51" s="44">
        <f>IF($D$12="N",(IF(D11="Y",D50+L13,D50)),IF($F$63=7,$B$64,IF($F$63&lt;7,$B$63,D50)))+IF(F63=7,0,(IF(D12="Y",(IF(D11="Y",L13,0)),0)))</f>
        <v>0</v>
      </c>
      <c r="E51" s="44">
        <f>E50+IF(MOD(E50*0.03,100)&gt;=50,E50*0.03-MOD(E50*0.03,100)+100,E50*0.03-MOD(E50*0.03,100))</f>
        <v>0</v>
      </c>
      <c r="F51" s="44">
        <f t="shared" si="9"/>
        <v>0</v>
      </c>
      <c r="G51" s="7">
        <f t="shared" si="7"/>
        <v>0</v>
      </c>
      <c r="H51" s="7"/>
      <c r="I51" s="127">
        <f t="shared" si="8"/>
        <v>0</v>
      </c>
    </row>
    <row r="52" spans="1:9" hidden="1" x14ac:dyDescent="0.3">
      <c r="A52" s="43" t="s">
        <v>23</v>
      </c>
      <c r="B52" s="44">
        <f>IF($D$16="N",B51,IF($F$73=8,$B$74,IF($F$73&lt;8,$B$73,B51)))+IF(D11="N",0,(IF($F$73&lt;7,B75,0)))</f>
        <v>0</v>
      </c>
      <c r="C52" s="44">
        <f>IF($D$14="N",C51,IF($F$68=8,$B$69,IF($F$68&lt;8,$B$68,C51)))+IF(F68&lt;7,L13,0)</f>
        <v>0</v>
      </c>
      <c r="D52" s="44">
        <f>IF($D$12="N",D51,IF($F$63=8,$B$64,IF($F$63&lt;8,$B$63,D51)))+IF(F63&lt;7,L13,0)</f>
        <v>0</v>
      </c>
      <c r="E52" s="44">
        <f t="shared" ref="E52:E59" si="10">E51</f>
        <v>0</v>
      </c>
      <c r="F52" s="44">
        <f t="shared" si="9"/>
        <v>0</v>
      </c>
      <c r="G52" s="7">
        <f t="shared" si="7"/>
        <v>0</v>
      </c>
      <c r="H52" s="7"/>
      <c r="I52" s="127">
        <f t="shared" si="8"/>
        <v>0</v>
      </c>
    </row>
    <row r="53" spans="1:9" hidden="1" x14ac:dyDescent="0.3">
      <c r="A53" s="43" t="s">
        <v>25</v>
      </c>
      <c r="B53" s="44">
        <f>IF($D$16="N",B52,IF($F$73=9,$B$74,IF($F$73&lt;9,$B$73,B52)))+IF(D11="N",0,(IF($F$73&lt;7,B75,0)))</f>
        <v>0</v>
      </c>
      <c r="C53" s="44">
        <f>IF($D$14="N",C52,IF($F$68=9,$B$69,IF($F$68&lt;9,$B$68,C52)))+IF(F68&lt;7,L13,0)</f>
        <v>0</v>
      </c>
      <c r="D53" s="44">
        <f>IF($D$12="N",D52,IF($F$63=9,$B$64,IF($F$63&lt;9,$B$63,D52)))+IF(F63&lt;7,L13,0)</f>
        <v>0</v>
      </c>
      <c r="E53" s="44">
        <f t="shared" si="10"/>
        <v>0</v>
      </c>
      <c r="F53" s="44">
        <f t="shared" si="9"/>
        <v>0</v>
      </c>
      <c r="G53" s="7">
        <f t="shared" si="7"/>
        <v>0</v>
      </c>
      <c r="H53" s="7"/>
      <c r="I53" s="127">
        <f t="shared" si="8"/>
        <v>0</v>
      </c>
    </row>
    <row r="54" spans="1:9" hidden="1" x14ac:dyDescent="0.3">
      <c r="A54" s="43" t="s">
        <v>26</v>
      </c>
      <c r="B54" s="44">
        <f>IF($D$16="N",B53,IF($F$73=10,$B$74,IF($F$73&lt;10,$B$73,B53)))+IF(D11="N",0,(IF($F$73&lt;7,B75,0)))</f>
        <v>0</v>
      </c>
      <c r="C54" s="44">
        <f>IF($D$14="N",C53,IF($F$68=10,$B$69,IF($F$68&lt;10,$B$68,C53)))+IF(F68&lt;7,L13,0)</f>
        <v>0</v>
      </c>
      <c r="D54" s="44">
        <f>IF($D$12="N",D53,IF($F$63=10,$B$64,IF($F$63&lt;10,$B$63,D53)))+IF(F63&lt;7,L13,0)</f>
        <v>0</v>
      </c>
      <c r="E54" s="44">
        <f t="shared" si="10"/>
        <v>0</v>
      </c>
      <c r="F54" s="44">
        <f t="shared" si="9"/>
        <v>0</v>
      </c>
      <c r="G54" s="7">
        <f t="shared" si="7"/>
        <v>0</v>
      </c>
      <c r="H54" s="7"/>
      <c r="I54" s="127">
        <f t="shared" si="8"/>
        <v>0</v>
      </c>
    </row>
    <row r="55" spans="1:9" hidden="1" x14ac:dyDescent="0.3">
      <c r="A55" s="43" t="s">
        <v>27</v>
      </c>
      <c r="B55" s="44">
        <f>IF($D$16="N",B54,IF($F$73=11,$B$74,IF($F$73&lt;11,$B$73,B54)))+IF(D11="N",0,(IF($F$73&lt;7,B75,0)))</f>
        <v>0</v>
      </c>
      <c r="C55" s="44">
        <f>IF($D$14="N",C54,IF($F$68=11,$B$69,IF($F$68&lt;11,$B$68,C54)))+IF(F68&lt;7,L13,0)</f>
        <v>0</v>
      </c>
      <c r="D55" s="44">
        <f>IF($D$12="N",D54,IF($F$63=11,$B$64,IF($F$63&lt;11,$B$63,D54)))+IF(F63&lt;7,L13,0)</f>
        <v>0</v>
      </c>
      <c r="E55" s="44">
        <f t="shared" si="10"/>
        <v>0</v>
      </c>
      <c r="F55" s="44">
        <f t="shared" si="9"/>
        <v>0</v>
      </c>
      <c r="G55" s="7">
        <f t="shared" si="7"/>
        <v>0</v>
      </c>
      <c r="H55" s="7"/>
      <c r="I55" s="127">
        <f t="shared" si="8"/>
        <v>0</v>
      </c>
    </row>
    <row r="56" spans="1:9" hidden="1" x14ac:dyDescent="0.3">
      <c r="A56" s="43" t="s">
        <v>29</v>
      </c>
      <c r="B56" s="44">
        <f>IF($D$16="N",B55,IF($F$73=12,$B$74,IF($F$73&lt;12,$B$73,B55)))+IF(D11="N",0,(IF($F$73&lt;7,B75,0)))</f>
        <v>0</v>
      </c>
      <c r="C56" s="44">
        <f>IF($D$14="N",C55,IF($F$68=12,$B$69,IF($F$68&lt;12,$B$68,C55)))+IF(F68&lt;7,L13,0)</f>
        <v>0</v>
      </c>
      <c r="D56" s="44">
        <f>IF($D$12="N",D55,IF($F$63=12,$B$64,IF($F$63&lt;12,$B$63,D55)))+IF(F63&lt;7,L13,0)</f>
        <v>0</v>
      </c>
      <c r="E56" s="44">
        <f t="shared" si="10"/>
        <v>0</v>
      </c>
      <c r="F56" s="44">
        <f t="shared" si="9"/>
        <v>0</v>
      </c>
      <c r="G56" s="7">
        <f t="shared" si="7"/>
        <v>0</v>
      </c>
      <c r="H56" s="7"/>
      <c r="I56" s="127">
        <f t="shared" si="8"/>
        <v>0</v>
      </c>
    </row>
    <row r="57" spans="1:9" hidden="1" x14ac:dyDescent="0.3">
      <c r="A57" s="43" t="s">
        <v>35</v>
      </c>
      <c r="B57" s="44">
        <f>IF($D$16="N",B56,IF($F$73=13,$B$74,IF($F$73&lt;13,$B$73,B56)))+IF(D11="N",0,(IF($F$73&lt;7,B75,0)))</f>
        <v>0</v>
      </c>
      <c r="C57" s="44">
        <f>IF($D$14="N",C56,IF($F$68=13,$B$69,IF($F$68&lt;13,$B$68,C56)))+IF(F68&lt;7,L13,0)</f>
        <v>0</v>
      </c>
      <c r="D57" s="44">
        <f>IF($D$12="N",D56,IF($F$63=13,$B$64,IF($F$63&lt;13,$B$63,D56)))+IF(F63&lt;7,L13,0)</f>
        <v>0</v>
      </c>
      <c r="E57" s="44">
        <f t="shared" si="10"/>
        <v>0</v>
      </c>
      <c r="F57" s="44">
        <f t="shared" si="9"/>
        <v>0</v>
      </c>
      <c r="G57" s="7">
        <f t="shared" si="7"/>
        <v>0</v>
      </c>
      <c r="H57" s="7"/>
      <c r="I57" s="127">
        <f t="shared" si="8"/>
        <v>0</v>
      </c>
    </row>
    <row r="58" spans="1:9" hidden="1" x14ac:dyDescent="0.3">
      <c r="A58" s="43" t="s">
        <v>36</v>
      </c>
      <c r="B58" s="44">
        <f>IF($D$16="N",B57,IF($F$73=14,$B$74,IF($F$73&lt;14,$B$73,B57)))+IF(D11="N",0,(IF($F$73&lt;7,B75,0)))</f>
        <v>0</v>
      </c>
      <c r="C58" s="44">
        <f>IF($D$14="N",C57,IF($F$68=14,$B$69,IF($F$68&lt;14,$B$68,C57)))+IF(F68&lt;7,L13,0)</f>
        <v>0</v>
      </c>
      <c r="D58" s="44">
        <f>IF($D$12="N",D57,IF($F$63=14,$B$64,IF($F$63&lt;14,$B$63,D57)))+IF(F63&lt;7,L13,0)</f>
        <v>0</v>
      </c>
      <c r="E58" s="44">
        <f t="shared" si="10"/>
        <v>0</v>
      </c>
      <c r="F58" s="44">
        <f t="shared" si="9"/>
        <v>0</v>
      </c>
      <c r="G58" s="7">
        <f t="shared" si="7"/>
        <v>0</v>
      </c>
      <c r="H58" s="7"/>
      <c r="I58" s="127">
        <f t="shared" si="8"/>
        <v>0</v>
      </c>
    </row>
    <row r="59" spans="1:9" hidden="1" x14ac:dyDescent="0.3">
      <c r="A59" s="43" t="s">
        <v>16</v>
      </c>
      <c r="B59" s="44">
        <f>B58</f>
        <v>0</v>
      </c>
      <c r="C59" s="44">
        <f t="shared" ref="C59:D59" si="11">C58</f>
        <v>0</v>
      </c>
      <c r="D59" s="44">
        <f t="shared" si="11"/>
        <v>0</v>
      </c>
      <c r="E59" s="44">
        <f t="shared" si="10"/>
        <v>0</v>
      </c>
      <c r="F59" s="44">
        <f t="shared" si="9"/>
        <v>0</v>
      </c>
      <c r="G59" s="7">
        <f t="shared" si="7"/>
        <v>0</v>
      </c>
      <c r="H59" s="8"/>
    </row>
    <row r="60" spans="1:9" hidden="1" x14ac:dyDescent="0.3">
      <c r="A60" s="8"/>
      <c r="B60" s="8"/>
      <c r="C60" s="8"/>
      <c r="D60" s="8"/>
      <c r="E60" s="8"/>
      <c r="F60" s="8"/>
    </row>
    <row r="61" spans="1:9" hidden="1" x14ac:dyDescent="0.3">
      <c r="A61" s="221" t="s">
        <v>102</v>
      </c>
      <c r="B61" s="221"/>
      <c r="C61" s="221"/>
      <c r="D61" s="221"/>
      <c r="E61" s="221"/>
      <c r="F61" s="221"/>
    </row>
    <row r="62" spans="1:9" hidden="1" x14ac:dyDescent="0.3">
      <c r="A62" s="7" t="s">
        <v>82</v>
      </c>
      <c r="B62" s="7">
        <f>IF(F63=13,D56,IF(F63=14,D57,IF(F63=3,D10,IF(F63=4,D47,IF(F63=5,D48,IF(F63=6,D49,IF(F63=7,(IF(D11="Y",L12,D50)),IF(F63=8,D51,IF(F63=9,D52,IF(F63=10,D53,IF(F63=11,D54,IF(F63=12,D55,D47))))))))))))</f>
        <v>0</v>
      </c>
      <c r="C62" s="7" t="s">
        <v>84</v>
      </c>
      <c r="D62" s="7">
        <f>ROUND(B62/F64*(E63-1),2)</f>
        <v>0</v>
      </c>
      <c r="E62" s="30" t="str">
        <f>TEXT(D13,"DD")</f>
        <v>21</v>
      </c>
      <c r="F62" s="30" t="str">
        <f>TEXT(D13,"MM")</f>
        <v>07</v>
      </c>
    </row>
    <row r="63" spans="1:9" hidden="1" x14ac:dyDescent="0.3">
      <c r="A63" s="7" t="s">
        <v>83</v>
      </c>
      <c r="B63" s="7">
        <f>B62+IF(MOD(B62*0.03,100)&gt;=50,B62*0.03-MOD(B62*0.03,100)+100,B62*0.03-MOD(B62*0.03,100))</f>
        <v>0</v>
      </c>
      <c r="C63" s="7" t="s">
        <v>89</v>
      </c>
      <c r="D63" s="7">
        <f>ROUND(B63/F64*E64,2)</f>
        <v>0</v>
      </c>
      <c r="E63" s="45">
        <f>VALUE(E62)</f>
        <v>21</v>
      </c>
      <c r="F63" s="45">
        <f>IF(D12="N",13,(IF((VALUE(F62))=1,13,IF((VALUE(F62))=2,14,VALUE(F62)))))</f>
        <v>13</v>
      </c>
    </row>
    <row r="64" spans="1:9" hidden="1" x14ac:dyDescent="0.3">
      <c r="A64" s="7" t="s">
        <v>85</v>
      </c>
      <c r="B64" s="7">
        <f>IF(D12="N",0,ROUND((D62+D63),0))</f>
        <v>0</v>
      </c>
      <c r="C64" s="7" t="s">
        <v>90</v>
      </c>
      <c r="D64" s="7">
        <f>IF(D12="N",0,B64-B62)</f>
        <v>0</v>
      </c>
      <c r="E64" s="45">
        <f>F64-E63+1</f>
        <v>11</v>
      </c>
      <c r="F64" s="45">
        <f>IF(F63=14,28,IF(F63=13,31,IF(F63=12,31,IF(F63=11,30,IF(F63=10,31,IF(F63=9,30,IF(F63=8,31,IF(F63=7,31,IF(F63=6,30,IF(F63=5,31,IF(F63=4,30,IF(F63=3,31,0))))))))))))</f>
        <v>31</v>
      </c>
    </row>
    <row r="65" spans="1:7" hidden="1" x14ac:dyDescent="0.3">
      <c r="A65" s="8"/>
      <c r="B65" s="8"/>
      <c r="C65" s="8"/>
      <c r="D65" s="8"/>
      <c r="E65" s="8"/>
      <c r="F65" s="8"/>
    </row>
    <row r="66" spans="1:7" hidden="1" x14ac:dyDescent="0.3">
      <c r="A66" s="221" t="s">
        <v>100</v>
      </c>
      <c r="B66" s="221"/>
      <c r="C66" s="221"/>
      <c r="D66" s="221"/>
      <c r="E66" s="221"/>
      <c r="F66" s="221"/>
    </row>
    <row r="67" spans="1:7" hidden="1" x14ac:dyDescent="0.3">
      <c r="A67" s="7" t="s">
        <v>82</v>
      </c>
      <c r="B67" s="7">
        <f>IF(F68=13,C56,IF(F68=14,C57,IF(F68=3,D10,IF(F68=4,C47,IF(F68=5,C48,IF(F68=6,C49,IF(F68=7,(IF(D11="Y",L12,C50)),IF(F68=8,C51,IF(F68=9,C52,IF(F68=10,C53,IF(F68=11,C54,IF(F68=12,C55,C47))))))))))))</f>
        <v>0</v>
      </c>
      <c r="C67" s="7" t="s">
        <v>84</v>
      </c>
      <c r="D67" s="128">
        <f>ROUND(B67/F69*(E68-1),2)</f>
        <v>0</v>
      </c>
      <c r="E67" s="30" t="str">
        <f>TEXT(D15,"DD")</f>
        <v>21</v>
      </c>
      <c r="F67" s="30" t="str">
        <f>TEXT(D15,"MM")</f>
        <v>07</v>
      </c>
    </row>
    <row r="68" spans="1:7" hidden="1" x14ac:dyDescent="0.3">
      <c r="A68" s="7" t="s">
        <v>83</v>
      </c>
      <c r="B68" s="7">
        <f>MATRIX!S5</f>
        <v>0</v>
      </c>
      <c r="C68" s="7" t="s">
        <v>89</v>
      </c>
      <c r="D68" s="128">
        <f>ROUND(B68/F69*E69,2)</f>
        <v>0</v>
      </c>
      <c r="E68" s="45">
        <f>VALUE(E67)</f>
        <v>21</v>
      </c>
      <c r="F68" s="45">
        <f>IF((VALUE(F67))=1,13,IF((VALUE(F67))=2,14,VALUE(F67)))</f>
        <v>7</v>
      </c>
    </row>
    <row r="69" spans="1:7" hidden="1" x14ac:dyDescent="0.3">
      <c r="A69" s="7" t="s">
        <v>85</v>
      </c>
      <c r="B69" s="7">
        <f>IF(D14="N",0,ROUND((D67+D68),0))</f>
        <v>0</v>
      </c>
      <c r="C69" s="7" t="s">
        <v>90</v>
      </c>
      <c r="D69" s="7">
        <v>0</v>
      </c>
      <c r="E69" s="45">
        <f>F69-E68+1</f>
        <v>11</v>
      </c>
      <c r="F69" s="45">
        <f>IF(F68=14,28,IF(F68=13,31,IF(F68=12,31,IF(F68=11,30,IF(F68=10,31,IF(F68=9,30,IF(F68=8,31,IF(F68=7,31,IF(F68=6,30,IF(F68=5,31,IF(F68=4,30,IF(F68=3,31,0))))))))))))</f>
        <v>31</v>
      </c>
    </row>
    <row r="70" spans="1:7" hidden="1" x14ac:dyDescent="0.3"/>
    <row r="71" spans="1:7" hidden="1" x14ac:dyDescent="0.3">
      <c r="A71" s="221" t="s">
        <v>264</v>
      </c>
      <c r="B71" s="221"/>
      <c r="C71" s="221"/>
      <c r="D71" s="221"/>
      <c r="E71" s="221"/>
      <c r="F71" s="221"/>
    </row>
    <row r="72" spans="1:7" hidden="1" x14ac:dyDescent="0.3">
      <c r="A72" s="7" t="s">
        <v>82</v>
      </c>
      <c r="B72" s="7">
        <f>IF(F73=13,B56,IF(F73=14,B57,IF(F73=3,D10,IF(F73=4,B47,IF(F73=5,B48,IF(F73=6,B49,IF(F73=7,(IF(D11="Y",D75,B50)),IF(F73=8,B51,IF(F73=9,B52,IF(F73=10,B53,IF(F73=11,B54,IF(F73=12,B55,B47))))))))))))</f>
        <v>0</v>
      </c>
      <c r="C72" s="7" t="s">
        <v>84</v>
      </c>
      <c r="D72" s="7">
        <f>ROUND(B72/F74*(E73-1),0)</f>
        <v>0</v>
      </c>
      <c r="E72" s="30" t="str">
        <f>TEXT(D18,"DD")</f>
        <v>01</v>
      </c>
      <c r="F72" s="30" t="str">
        <f>TEXT(D18,"MM")</f>
        <v>09</v>
      </c>
    </row>
    <row r="73" spans="1:7" hidden="1" x14ac:dyDescent="0.3">
      <c r="A73" s="7" t="s">
        <v>83</v>
      </c>
      <c r="B73" s="7">
        <f>MATRIX!T5</f>
        <v>0</v>
      </c>
      <c r="C73" s="7" t="s">
        <v>89</v>
      </c>
      <c r="D73" s="7">
        <f>ROUND(B73/F74*E74,0)</f>
        <v>0</v>
      </c>
      <c r="E73" s="45">
        <f>VALUE(E72)</f>
        <v>1</v>
      </c>
      <c r="F73" s="45">
        <f>IF((VALUE(F72))=1,13,IF((VALUE(F72))=2,14,VALUE(F72)))</f>
        <v>9</v>
      </c>
    </row>
    <row r="74" spans="1:7" hidden="1" x14ac:dyDescent="0.3">
      <c r="A74" s="7" t="s">
        <v>85</v>
      </c>
      <c r="B74" s="7">
        <f>IF(D16="N",0,D72+D73)</f>
        <v>0</v>
      </c>
      <c r="C74" s="7" t="s">
        <v>90</v>
      </c>
      <c r="D74" s="7">
        <f>IF(D16="Y",(B74-B72),0)</f>
        <v>0</v>
      </c>
      <c r="E74" s="45">
        <f>F74-E73+1</f>
        <v>30</v>
      </c>
      <c r="F74" s="45">
        <f>IF(F73=14,28,IF(F73=13,31,IF(F73=12,31,IF(F73=11,30,IF(F73=10,31,IF(F73=9,30,IF(F73=8,31,IF(F73=7,31,IF(F73=6,30,IF(F73=5,31,IF(F73=4,30,IF(F73=3,31,0))))))))))))</f>
        <v>30</v>
      </c>
    </row>
    <row r="75" spans="1:7" hidden="1" x14ac:dyDescent="0.3">
      <c r="A75" s="7" t="s">
        <v>90</v>
      </c>
      <c r="B75" s="24">
        <f>IF(M18=0,X,D75-F75)</f>
        <v>0</v>
      </c>
      <c r="C75" s="7" t="s">
        <v>265</v>
      </c>
      <c r="D75" s="24">
        <f>F75+IF(MOD(F75*0.03,100)&gt;=50,F75*0.03-MOD(F75*0.03,100)+100,F75*0.03-MOD(F75*0.03,100))</f>
        <v>0</v>
      </c>
      <c r="E75" s="7" t="s">
        <v>266</v>
      </c>
      <c r="F75" s="76">
        <f>B50</f>
        <v>0</v>
      </c>
    </row>
    <row r="76" spans="1:7" hidden="1" x14ac:dyDescent="0.3"/>
    <row r="77" spans="1:7" x14ac:dyDescent="0.3">
      <c r="A77" s="212" t="s">
        <v>268</v>
      </c>
      <c r="B77" s="212"/>
      <c r="C77" s="212"/>
      <c r="D77" s="212"/>
      <c r="E77" s="212"/>
      <c r="F77" s="212"/>
      <c r="G77" s="178" t="s">
        <v>437</v>
      </c>
    </row>
    <row r="78" spans="1:7" x14ac:dyDescent="0.3">
      <c r="A78" s="215" t="str">
        <f>IF(G45=1,B83,IF(G45=2,B84,IF(G45=3,B85,IF(G45=4,B86,B82))))</f>
        <v>ANNUAL INCREMENT IN JULY</v>
      </c>
      <c r="B78" s="216"/>
      <c r="C78" s="216"/>
      <c r="D78" s="213" t="str">
        <f>IF(D11="N",(IF(A78="NO INCREMENT"," ","ONLY")),(IF(L13&gt;0,(IF(G45=1," "," WITH ANNUAL INCREMENT")),(IF(G45=0," "," ONLY")))))</f>
        <v xml:space="preserve"> ONLY</v>
      </c>
      <c r="E78" s="213"/>
      <c r="F78" s="214"/>
      <c r="G78" s="179" t="s">
        <v>440</v>
      </c>
    </row>
    <row r="79" spans="1:7" x14ac:dyDescent="0.3">
      <c r="A79" s="89" t="s">
        <v>270</v>
      </c>
      <c r="B79" s="218" t="str">
        <f>IF(B80="DATE FORMAT","DATE FORMAT WRONG",IF(B81="OK","EVERYTHING OK","CHECK INPUT VALUES"))</f>
        <v>EVERYTHING OK</v>
      </c>
      <c r="C79" s="218"/>
      <c r="D79" s="218"/>
      <c r="E79" s="218"/>
      <c r="F79" s="218"/>
      <c r="G79" s="180">
        <f>SUM(G32:G42)</f>
        <v>0</v>
      </c>
    </row>
    <row r="80" spans="1:7" hidden="1" x14ac:dyDescent="0.3">
      <c r="A80" s="90" t="s">
        <v>272</v>
      </c>
      <c r="B80" s="219">
        <f>IFERROR(G58,"DATE FORMAT")</f>
        <v>0</v>
      </c>
      <c r="C80" s="220"/>
      <c r="D80" s="220"/>
      <c r="E80" s="220"/>
      <c r="F80" s="220"/>
    </row>
    <row r="81" spans="1:6" hidden="1" x14ac:dyDescent="0.3">
      <c r="A81" s="91" t="s">
        <v>271</v>
      </c>
      <c r="B81" s="211" t="str">
        <f>IF(G45&lt;5,"OK","PLEASE CHECK YOUR INPUT VALUES")</f>
        <v>OK</v>
      </c>
      <c r="C81" s="211"/>
      <c r="D81" s="211"/>
      <c r="E81" s="211"/>
      <c r="F81" s="211"/>
    </row>
    <row r="82" spans="1:6" hidden="1" x14ac:dyDescent="0.3">
      <c r="A82" s="7">
        <v>0</v>
      </c>
      <c r="B82" s="217" t="s">
        <v>269</v>
      </c>
      <c r="C82" s="217"/>
      <c r="D82" s="217"/>
      <c r="E82" s="217"/>
      <c r="F82" s="217"/>
    </row>
    <row r="83" spans="1:6" hidden="1" x14ac:dyDescent="0.3">
      <c r="A83" s="7">
        <v>1</v>
      </c>
      <c r="B83" s="217" t="s">
        <v>277</v>
      </c>
      <c r="C83" s="217"/>
      <c r="D83" s="217"/>
      <c r="E83" s="217"/>
      <c r="F83" s="217"/>
    </row>
    <row r="84" spans="1:6" hidden="1" x14ac:dyDescent="0.3">
      <c r="A84" s="7">
        <v>2</v>
      </c>
      <c r="B84" s="217" t="s">
        <v>274</v>
      </c>
      <c r="C84" s="217"/>
      <c r="D84" s="217"/>
      <c r="E84" s="217"/>
      <c r="F84" s="217"/>
    </row>
    <row r="85" spans="1:6" hidden="1" x14ac:dyDescent="0.3">
      <c r="A85" s="7">
        <v>3</v>
      </c>
      <c r="B85" s="217" t="s">
        <v>275</v>
      </c>
      <c r="C85" s="217"/>
      <c r="D85" s="217"/>
      <c r="E85" s="217"/>
      <c r="F85" s="217"/>
    </row>
    <row r="86" spans="1:6" hidden="1" x14ac:dyDescent="0.3">
      <c r="A86" s="7">
        <v>4</v>
      </c>
      <c r="B86" s="217" t="s">
        <v>276</v>
      </c>
      <c r="C86" s="217"/>
      <c r="D86" s="217"/>
      <c r="E86" s="217"/>
      <c r="F86" s="217"/>
    </row>
    <row r="87" spans="1:6" ht="6" customHeight="1" x14ac:dyDescent="0.3">
      <c r="A87" s="8"/>
      <c r="B87" s="8"/>
      <c r="C87" s="8"/>
      <c r="D87" s="8"/>
      <c r="E87" s="8"/>
      <c r="F87" s="8"/>
    </row>
    <row r="88" spans="1:6" x14ac:dyDescent="0.3">
      <c r="A88" s="210" t="s">
        <v>279</v>
      </c>
      <c r="B88" s="210"/>
      <c r="C88" s="210"/>
      <c r="D88" s="210"/>
      <c r="E88" s="210"/>
      <c r="F88" s="210"/>
    </row>
  </sheetData>
  <sheetProtection algorithmName="SHA-512" hashValue="G6BRLrw88O93Y83kQ1I3lB/i7sPeSWy99z/ipBHHoRbpIAzExB9P/KyfxONLedKBD0nQCl0WOSqpV3MOf8f/sQ==" saltValue="D+ffEbK8874Y1KZw8kq/jQ==" spinCount="100000" sheet="1" objects="1" scenarios="1"/>
  <mergeCells count="52">
    <mergeCell ref="I1:J1"/>
    <mergeCell ref="A12:C12"/>
    <mergeCell ref="A8:D8"/>
    <mergeCell ref="I14:J14"/>
    <mergeCell ref="A1:F1"/>
    <mergeCell ref="A14:C14"/>
    <mergeCell ref="A9:C9"/>
    <mergeCell ref="B2:F2"/>
    <mergeCell ref="B3:F3"/>
    <mergeCell ref="B4:F4"/>
    <mergeCell ref="B5:F5"/>
    <mergeCell ref="B6:F6"/>
    <mergeCell ref="A10:C10"/>
    <mergeCell ref="A13:C13"/>
    <mergeCell ref="A11:C11"/>
    <mergeCell ref="A19:B19"/>
    <mergeCell ref="A20:B20"/>
    <mergeCell ref="A27:C27"/>
    <mergeCell ref="A15:C15"/>
    <mergeCell ref="A66:F66"/>
    <mergeCell ref="A24:C24"/>
    <mergeCell ref="A25:C25"/>
    <mergeCell ref="A26:C26"/>
    <mergeCell ref="A22:C22"/>
    <mergeCell ref="A61:F61"/>
    <mergeCell ref="A23:C23"/>
    <mergeCell ref="A17:C17"/>
    <mergeCell ref="A18:C18"/>
    <mergeCell ref="A29:D29"/>
    <mergeCell ref="I23:J23"/>
    <mergeCell ref="A21:C21"/>
    <mergeCell ref="I42:J42"/>
    <mergeCell ref="I43:J43"/>
    <mergeCell ref="I40:J40"/>
    <mergeCell ref="E29:F29"/>
    <mergeCell ref="I33:J33"/>
    <mergeCell ref="L8:M8"/>
    <mergeCell ref="A88:F88"/>
    <mergeCell ref="B81:F81"/>
    <mergeCell ref="A77:F77"/>
    <mergeCell ref="D78:F78"/>
    <mergeCell ref="A78:C78"/>
    <mergeCell ref="B82:F82"/>
    <mergeCell ref="B83:F83"/>
    <mergeCell ref="B84:F84"/>
    <mergeCell ref="B85:F85"/>
    <mergeCell ref="B86:F86"/>
    <mergeCell ref="B79:F79"/>
    <mergeCell ref="B80:F80"/>
    <mergeCell ref="A71:F71"/>
    <mergeCell ref="A16:C16"/>
    <mergeCell ref="I26:J26"/>
  </mergeCells>
  <phoneticPr fontId="29" type="noConversion"/>
  <dataValidations count="5">
    <dataValidation type="list" allowBlank="1" showInputMessage="1" showErrorMessage="1" sqref="D21:D22 D16 D14 D11:D12" xr:uid="{00000000-0002-0000-0000-000000000000}">
      <formula1>$N$18:$N$19</formula1>
    </dataValidation>
    <dataValidation type="list" allowBlank="1" showInputMessage="1" showErrorMessage="1" sqref="B4:F4" xr:uid="{00000000-0002-0000-0000-000001000000}">
      <formula1>$P$2:$P$15</formula1>
    </dataValidation>
    <dataValidation type="list" allowBlank="1" showInputMessage="1" showErrorMessage="1" sqref="D9 D17" xr:uid="{00000000-0002-0000-0000-000002000000}">
      <formula1>$N$2:$N$16</formula1>
    </dataValidation>
    <dataValidation type="date" allowBlank="1" showInputMessage="1" showErrorMessage="1" errorTitle="Please!!!" error="Input either 01-03-2022 or 01-04-2022" sqref="E29:F29" xr:uid="{D76CE9DB-4401-456E-813A-F86991CC8E08}">
      <formula1>46082</formula1>
      <formula2>46113</formula2>
    </dataValidation>
    <dataValidation type="whole" allowBlank="1" showInputMessage="1" showErrorMessage="1" errorTitle="Max = 50000" error="Put Value less than equal to 50000" sqref="J15" xr:uid="{23ED9D21-49AD-4FCB-9F84-1916DC5B17F8}">
      <formula1>0</formula1>
      <formula2>50000</formula2>
    </dataValidation>
  </dataValidations>
  <printOptions horizontalCentered="1"/>
  <pageMargins left="0.32" right="0.23" top="0.39" bottom="0.39" header="0.3" footer="0.3"/>
  <pageSetup paperSize="9" scale="92" orientation="portrait" r:id="rId1"/>
  <ignoredErrors>
    <ignoredError sqref="C33:F43 B36:B38 B40:B41 G40:G42 G34:G39 B42:B43 B33:B35"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Wrong Basic Pay" error="Please Enter Correct Basic Pay" xr:uid="{0296806B-9AAB-42E2-93C7-0892D155B698}">
          <x14:formula1>
            <xm:f>MATRIX!$U$7:$U$39</xm:f>
          </x14:formula1>
          <xm:sqref>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7"/>
  <sheetViews>
    <sheetView zoomScale="80" zoomScaleNormal="80" workbookViewId="0">
      <selection activeCell="K1" sqref="K1"/>
    </sheetView>
  </sheetViews>
  <sheetFormatPr defaultColWidth="0" defaultRowHeight="14.4" zeroHeight="1" x14ac:dyDescent="0.3"/>
  <cols>
    <col min="1" max="1" width="12.88671875" customWidth="1"/>
    <col min="2" max="2" width="11.109375" customWidth="1"/>
    <col min="3" max="6" width="8.6640625" customWidth="1"/>
    <col min="7" max="7" width="11.33203125" customWidth="1"/>
    <col min="8" max="8" width="8.6640625" customWidth="1"/>
    <col min="9" max="9" width="9.5546875" customWidth="1"/>
    <col min="10" max="10" width="8.6640625" customWidth="1"/>
    <col min="11" max="11" width="9.33203125" customWidth="1"/>
    <col min="12" max="12" width="10.88671875" customWidth="1"/>
    <col min="13" max="13" width="11.88671875" customWidth="1"/>
    <col min="14" max="14" width="9.5546875" customWidth="1"/>
    <col min="15" max="15" width="8.88671875" customWidth="1"/>
    <col min="16" max="27" width="8.88671875" hidden="1" customWidth="1"/>
    <col min="28" max="28" width="8.33203125" hidden="1" customWidth="1"/>
    <col min="29" max="29" width="8.88671875" hidden="1" customWidth="1"/>
    <col min="30" max="16384" width="8.88671875" hidden="1"/>
  </cols>
  <sheetData>
    <row r="1" spans="1:29" ht="23.4" x14ac:dyDescent="0.45">
      <c r="A1" s="236" t="s">
        <v>338</v>
      </c>
      <c r="B1" s="236"/>
      <c r="C1" s="236"/>
      <c r="D1" s="236"/>
      <c r="E1" s="236"/>
      <c r="F1" s="236"/>
      <c r="G1" s="236"/>
      <c r="H1" s="236"/>
      <c r="I1" s="236"/>
      <c r="J1" s="236"/>
      <c r="K1" s="47">
        <f>IF(A6=0," ",YEAR(A6))</f>
        <v>2026</v>
      </c>
      <c r="L1" s="126" t="str">
        <f>IF(A6=0," ","-  "&amp;K1+1)</f>
        <v>-  2027</v>
      </c>
      <c r="M1" s="125"/>
      <c r="N1" s="125"/>
    </row>
    <row r="2" spans="1:29" ht="12" customHeight="1" x14ac:dyDescent="0.45">
      <c r="A2" s="47"/>
      <c r="B2" s="47"/>
      <c r="C2" s="47"/>
      <c r="D2" s="47"/>
      <c r="E2" s="47"/>
      <c r="F2" s="47"/>
      <c r="G2" s="47"/>
      <c r="H2" s="47"/>
      <c r="I2" s="47"/>
      <c r="J2" s="47"/>
      <c r="K2" s="47"/>
      <c r="L2" s="47"/>
      <c r="M2" s="47"/>
      <c r="N2" s="8"/>
    </row>
    <row r="3" spans="1:29" ht="21" customHeight="1" x14ac:dyDescent="0.3">
      <c r="A3" s="234" t="s">
        <v>78</v>
      </c>
      <c r="B3" s="234"/>
      <c r="C3" s="234"/>
      <c r="D3" s="235" t="str">
        <f>IF(INPUT!B2=0," ",INPUT!B2)</f>
        <v xml:space="preserve"> </v>
      </c>
      <c r="E3" s="235"/>
      <c r="F3" s="235"/>
      <c r="G3" s="235"/>
      <c r="H3" s="235"/>
      <c r="I3" s="235"/>
      <c r="J3" s="234" t="s">
        <v>280</v>
      </c>
      <c r="K3" s="234"/>
      <c r="L3" s="235" t="str">
        <f>IF(INPUT!B4=0," ",INPUT!B4)</f>
        <v xml:space="preserve"> </v>
      </c>
      <c r="M3" s="235"/>
      <c r="N3" s="235"/>
    </row>
    <row r="4" spans="1:29" ht="21" customHeight="1" x14ac:dyDescent="0.3">
      <c r="A4" s="234" t="s">
        <v>257</v>
      </c>
      <c r="B4" s="234"/>
      <c r="C4" s="234"/>
      <c r="D4" s="235" t="str">
        <f>IF(INPUT!B6=0," ",INPUT!B6)</f>
        <v xml:space="preserve"> </v>
      </c>
      <c r="E4" s="235"/>
      <c r="F4" s="235"/>
      <c r="G4" s="235"/>
      <c r="H4" s="235"/>
      <c r="I4" s="235"/>
      <c r="J4" s="234" t="s">
        <v>79</v>
      </c>
      <c r="K4" s="234"/>
      <c r="L4" s="235" t="str">
        <f>IF(INPUT!B5=0," ",INPUT!B5)</f>
        <v xml:space="preserve"> </v>
      </c>
      <c r="M4" s="235"/>
      <c r="N4" s="235"/>
    </row>
    <row r="5" spans="1:29" ht="21" customHeight="1" x14ac:dyDescent="0.3">
      <c r="A5" s="234" t="s">
        <v>80</v>
      </c>
      <c r="B5" s="234"/>
      <c r="C5" s="234"/>
      <c r="D5" s="235" t="str">
        <f>IF(INPUT!B3=0," ",INPUT!B3)</f>
        <v xml:space="preserve"> </v>
      </c>
      <c r="E5" s="235"/>
      <c r="F5" s="235"/>
      <c r="G5" s="235"/>
      <c r="H5" s="235"/>
      <c r="I5" s="235"/>
      <c r="J5" s="234" t="s">
        <v>81</v>
      </c>
      <c r="K5" s="234"/>
      <c r="L5" s="235" t="str">
        <f>IF(INPUT!O1=0," ",INPUT!O1)</f>
        <v xml:space="preserve"> </v>
      </c>
      <c r="M5" s="235"/>
      <c r="N5" s="235"/>
    </row>
    <row r="6" spans="1:29" s="31" customFormat="1" ht="12" customHeight="1" x14ac:dyDescent="0.3">
      <c r="A6" s="124">
        <f>INPUT!E29</f>
        <v>46082</v>
      </c>
      <c r="B6" s="119"/>
      <c r="C6" s="119"/>
      <c r="D6" s="120"/>
      <c r="E6" s="120"/>
      <c r="F6" s="120"/>
      <c r="G6" s="120"/>
      <c r="H6" s="120"/>
      <c r="I6" s="120"/>
      <c r="J6" s="121"/>
      <c r="K6" s="121"/>
      <c r="L6" s="122"/>
      <c r="M6" s="122"/>
      <c r="N6" s="82">
        <f>INPUT!D27</f>
        <v>11</v>
      </c>
      <c r="P6" s="31">
        <v>12</v>
      </c>
      <c r="Q6" s="31">
        <v>11</v>
      </c>
      <c r="R6" s="31">
        <v>10</v>
      </c>
      <c r="S6" s="31">
        <v>9</v>
      </c>
      <c r="T6" s="31">
        <v>8</v>
      </c>
      <c r="U6" s="31">
        <v>7</v>
      </c>
      <c r="V6" s="31">
        <v>6</v>
      </c>
      <c r="W6" s="31">
        <v>5</v>
      </c>
      <c r="X6" s="31">
        <v>4</v>
      </c>
      <c r="Y6" s="31">
        <v>3</v>
      </c>
      <c r="Z6" s="31">
        <v>2</v>
      </c>
      <c r="AA6" s="31">
        <v>1</v>
      </c>
      <c r="AB6" s="31">
        <v>0</v>
      </c>
      <c r="AC6" s="31" t="s">
        <v>443</v>
      </c>
    </row>
    <row r="7" spans="1:29" ht="30" customHeight="1" x14ac:dyDescent="0.3">
      <c r="A7" s="73" t="s">
        <v>15</v>
      </c>
      <c r="B7" s="74" t="s">
        <v>77</v>
      </c>
      <c r="C7" s="74" t="s">
        <v>0</v>
      </c>
      <c r="D7" s="74" t="s">
        <v>1</v>
      </c>
      <c r="E7" s="74" t="s">
        <v>2</v>
      </c>
      <c r="F7" s="74" t="s">
        <v>76</v>
      </c>
      <c r="G7" s="74" t="s">
        <v>41</v>
      </c>
      <c r="H7" s="74" t="s">
        <v>37</v>
      </c>
      <c r="I7" s="74" t="s">
        <v>38</v>
      </c>
      <c r="J7" s="74" t="s">
        <v>63</v>
      </c>
      <c r="K7" s="74" t="s">
        <v>61</v>
      </c>
      <c r="L7" s="74" t="s">
        <v>438</v>
      </c>
      <c r="M7" s="74" t="s">
        <v>62</v>
      </c>
      <c r="N7" s="74" t="s">
        <v>39</v>
      </c>
      <c r="P7" s="74" t="s">
        <v>64</v>
      </c>
      <c r="Q7" s="74" t="s">
        <v>64</v>
      </c>
      <c r="R7" s="74" t="s">
        <v>64</v>
      </c>
      <c r="S7" s="74" t="s">
        <v>64</v>
      </c>
      <c r="T7" s="74" t="s">
        <v>64</v>
      </c>
      <c r="U7" s="74" t="s">
        <v>64</v>
      </c>
      <c r="V7" s="74" t="s">
        <v>64</v>
      </c>
      <c r="W7" s="74" t="s">
        <v>64</v>
      </c>
      <c r="X7" s="74" t="s">
        <v>64</v>
      </c>
      <c r="Y7" s="74" t="s">
        <v>64</v>
      </c>
      <c r="Z7" s="74" t="s">
        <v>64</v>
      </c>
      <c r="AA7" s="74" t="s">
        <v>64</v>
      </c>
      <c r="AB7" s="74" t="s">
        <v>437</v>
      </c>
      <c r="AC7" s="74" t="s">
        <v>442</v>
      </c>
    </row>
    <row r="8" spans="1:29" ht="24" customHeight="1" x14ac:dyDescent="0.3">
      <c r="A8" s="123">
        <f>IF(A6=0,"-",EDATE(A6,0))</f>
        <v>46082</v>
      </c>
      <c r="B8" s="27">
        <f>INPUT!I47</f>
        <v>0</v>
      </c>
      <c r="C8" s="27">
        <f>B8*INPUT!B32</f>
        <v>0</v>
      </c>
      <c r="D8" s="27">
        <f>IF((B8*0.12)&lt;$D$23,(B8*0.12),$D$23)</f>
        <v>0</v>
      </c>
      <c r="E8" s="27">
        <f>IF($E$23="Y",0,IF(B8=0,0,500))</f>
        <v>0</v>
      </c>
      <c r="F8" s="27">
        <f>INPUT!C32</f>
        <v>0</v>
      </c>
      <c r="G8" s="27">
        <f>SUM(B8:F8)</f>
        <v>0</v>
      </c>
      <c r="H8" s="27">
        <f>IF($H$23="Y",0,IF(G8&gt;40000,200,IF(G8&gt;25000,150,IF(G8&gt;15000,130,IF(G8&gt;10000,110,0)))))</f>
        <v>0</v>
      </c>
      <c r="I8" s="27">
        <f>IF(B8&lt;=0,0,INPUT!D32)</f>
        <v>0</v>
      </c>
      <c r="J8" s="27">
        <f>INPUT!E32</f>
        <v>0</v>
      </c>
      <c r="K8" s="27">
        <f>INPUT!F32</f>
        <v>0</v>
      </c>
      <c r="L8" s="27">
        <f>IF($AB$24=0,AC8,AB8)</f>
        <v>0</v>
      </c>
      <c r="M8" s="27">
        <f>SUM(H8:L8)</f>
        <v>0</v>
      </c>
      <c r="N8" s="27">
        <f>G8-M8</f>
        <v>0</v>
      </c>
      <c r="P8" s="75">
        <f>IF($P$25&gt;=1200,ROUND($P$25/P$6,-1),0)</f>
        <v>0</v>
      </c>
      <c r="Q8" s="75">
        <f>IF(Q6=11,0,IF($P$25&gt;=1200,ROUND($P$25/$Q$6,-1),0))</f>
        <v>0</v>
      </c>
      <c r="R8" s="75">
        <v>0</v>
      </c>
      <c r="S8" s="75">
        <v>0</v>
      </c>
      <c r="T8" s="75">
        <v>0</v>
      </c>
      <c r="U8" s="75">
        <v>0</v>
      </c>
      <c r="V8" s="75">
        <v>0</v>
      </c>
      <c r="W8" s="75">
        <v>0</v>
      </c>
      <c r="X8" s="75">
        <v>0</v>
      </c>
      <c r="Y8" s="75">
        <v>0</v>
      </c>
      <c r="Z8" s="75">
        <v>0</v>
      </c>
      <c r="AA8" s="75">
        <v>0</v>
      </c>
      <c r="AB8" s="176">
        <f>INPUT!G32</f>
        <v>0</v>
      </c>
      <c r="AC8" s="27">
        <f t="shared" ref="AC8:AC19" si="0">IF($N$6=$P$6,P8,IF($N$6=$Q$6,Q8,IF($N$6=$R$6,R8,IF($N$6=$S$6,S8,IF($N$6=$T$6,T8,IF($N$6=$U$6,U8,IF($N$6=$V$6,V8,IF($N$6=$W$6,W8,IF($N$6=$X$6,X8,IF($N$6=$Y$6,Y8,IF($N$6=$Z$6,Z8,IF($N$6=$AA$6,AA8,P8))))))))))))</f>
        <v>0</v>
      </c>
    </row>
    <row r="9" spans="1:29" ht="24" customHeight="1" x14ac:dyDescent="0.3">
      <c r="A9" s="123">
        <f>IF($A$6=0,"-",EDATE(A8,1))</f>
        <v>46113</v>
      </c>
      <c r="B9" s="27">
        <f>INPUT!I48</f>
        <v>0</v>
      </c>
      <c r="C9" s="27">
        <f>B9*INPUT!B33</f>
        <v>0</v>
      </c>
      <c r="D9" s="27">
        <f t="shared" ref="D9:D11" si="1">IF((B9*0.12)&lt;$D$23,(B9*0.12),$D$23)</f>
        <v>0</v>
      </c>
      <c r="E9" s="27">
        <f t="shared" ref="E9:E19" si="2">IF($E$23="Y",0,IF(B9=0,0,500))</f>
        <v>0</v>
      </c>
      <c r="F9" s="27">
        <f>INPUT!C33</f>
        <v>0</v>
      </c>
      <c r="G9" s="27">
        <f t="shared" ref="G9:G19" si="3">SUM(B9:F9)</f>
        <v>0</v>
      </c>
      <c r="H9" s="27">
        <f t="shared" ref="H9:H19" si="4">IF($H$23="Y",0,IF(G9&gt;40000,200,IF(G9&gt;25000,150,IF(G9&gt;15000,130,IF(G9&gt;10000,110,0)))))</f>
        <v>0</v>
      </c>
      <c r="I9" s="27">
        <f>IF(B9&lt;=0,0,INPUT!D33)</f>
        <v>0</v>
      </c>
      <c r="J9" s="27">
        <f>INPUT!E33</f>
        <v>0</v>
      </c>
      <c r="K9" s="27">
        <f>INPUT!F33</f>
        <v>0</v>
      </c>
      <c r="L9" s="27">
        <f t="shared" ref="L9:L19" si="5">IF($AB$24=0,AC9,AB9)</f>
        <v>0</v>
      </c>
      <c r="M9" s="27">
        <f t="shared" ref="M9:M19" si="6">SUM(H9:L9)</f>
        <v>0</v>
      </c>
      <c r="N9" s="27">
        <f t="shared" ref="N9:N21" si="7">G9-M9</f>
        <v>0</v>
      </c>
      <c r="P9" s="75">
        <f>IF($P$25&gt;=1200,ROUND($P$25/P$6,-1),0)</f>
        <v>0</v>
      </c>
      <c r="Q9" s="75">
        <f t="shared" ref="Q9:Q18" si="8">IF($P$25&gt;=1200,ROUND($P$25/$Q$6,-1),0)</f>
        <v>0</v>
      </c>
      <c r="R9" s="75">
        <v>0</v>
      </c>
      <c r="S9" s="75">
        <v>0</v>
      </c>
      <c r="T9" s="75">
        <v>0</v>
      </c>
      <c r="U9" s="75">
        <v>0</v>
      </c>
      <c r="V9" s="75">
        <v>0</v>
      </c>
      <c r="W9" s="75">
        <v>0</v>
      </c>
      <c r="X9" s="75">
        <v>0</v>
      </c>
      <c r="Y9" s="75">
        <v>0</v>
      </c>
      <c r="Z9" s="75">
        <v>0</v>
      </c>
      <c r="AA9" s="75">
        <v>0</v>
      </c>
      <c r="AB9" s="176">
        <f>INPUT!G33</f>
        <v>0</v>
      </c>
      <c r="AC9" s="27">
        <f t="shared" si="0"/>
        <v>0</v>
      </c>
    </row>
    <row r="10" spans="1:29" ht="24" customHeight="1" x14ac:dyDescent="0.3">
      <c r="A10" s="123">
        <f t="shared" ref="A10:A19" si="9">IF($A$6=0,"-",EDATE(A9,1))</f>
        <v>46143</v>
      </c>
      <c r="B10" s="27">
        <f>INPUT!I49</f>
        <v>0</v>
      </c>
      <c r="C10" s="27">
        <f>B10*INPUT!B34</f>
        <v>0</v>
      </c>
      <c r="D10" s="27">
        <f t="shared" si="1"/>
        <v>0</v>
      </c>
      <c r="E10" s="27">
        <f t="shared" si="2"/>
        <v>0</v>
      </c>
      <c r="F10" s="27">
        <f>INPUT!C34</f>
        <v>0</v>
      </c>
      <c r="G10" s="27">
        <f t="shared" si="3"/>
        <v>0</v>
      </c>
      <c r="H10" s="27">
        <f t="shared" si="4"/>
        <v>0</v>
      </c>
      <c r="I10" s="27">
        <f>IF(B10&lt;=0,0,INPUT!D34)</f>
        <v>0</v>
      </c>
      <c r="J10" s="27">
        <f>INPUT!E34</f>
        <v>0</v>
      </c>
      <c r="K10" s="27">
        <f>INPUT!F34</f>
        <v>0</v>
      </c>
      <c r="L10" s="27">
        <f t="shared" si="5"/>
        <v>0</v>
      </c>
      <c r="M10" s="27">
        <f t="shared" si="6"/>
        <v>0</v>
      </c>
      <c r="N10" s="27">
        <f t="shared" si="7"/>
        <v>0</v>
      </c>
      <c r="P10" s="75">
        <f t="shared" ref="P10:P18" si="10">IF($P$25&gt;=1200,ROUND($P$25/P$6,-1),0)</f>
        <v>0</v>
      </c>
      <c r="Q10" s="75">
        <f t="shared" si="8"/>
        <v>0</v>
      </c>
      <c r="R10" s="75">
        <f t="shared" ref="R10:R18" si="11">IF($P$25&gt;=1200,ROUND($P$25/$R$6,-1),0)</f>
        <v>0</v>
      </c>
      <c r="S10" s="75">
        <v>0</v>
      </c>
      <c r="T10" s="75">
        <v>0</v>
      </c>
      <c r="U10" s="75">
        <v>0</v>
      </c>
      <c r="V10" s="75">
        <v>0</v>
      </c>
      <c r="W10" s="75">
        <v>0</v>
      </c>
      <c r="X10" s="75">
        <v>0</v>
      </c>
      <c r="Y10" s="75">
        <v>0</v>
      </c>
      <c r="Z10" s="75">
        <v>0</v>
      </c>
      <c r="AA10" s="75">
        <v>0</v>
      </c>
      <c r="AB10" s="176">
        <f>INPUT!G34</f>
        <v>0</v>
      </c>
      <c r="AC10" s="27">
        <f t="shared" si="0"/>
        <v>0</v>
      </c>
    </row>
    <row r="11" spans="1:29" ht="24" customHeight="1" x14ac:dyDescent="0.3">
      <c r="A11" s="123">
        <f t="shared" si="9"/>
        <v>46174</v>
      </c>
      <c r="B11" s="27">
        <f>INPUT!I50</f>
        <v>0</v>
      </c>
      <c r="C11" s="27">
        <f>B11*INPUT!B35</f>
        <v>0</v>
      </c>
      <c r="D11" s="27">
        <f t="shared" si="1"/>
        <v>0</v>
      </c>
      <c r="E11" s="27">
        <f t="shared" si="2"/>
        <v>0</v>
      </c>
      <c r="F11" s="27">
        <f>INPUT!C35</f>
        <v>0</v>
      </c>
      <c r="G11" s="27">
        <f t="shared" si="3"/>
        <v>0</v>
      </c>
      <c r="H11" s="27">
        <f t="shared" si="4"/>
        <v>0</v>
      </c>
      <c r="I11" s="27">
        <f>IF(B11&lt;=0,0,INPUT!D35)</f>
        <v>0</v>
      </c>
      <c r="J11" s="27">
        <f>INPUT!E35</f>
        <v>0</v>
      </c>
      <c r="K11" s="27">
        <f>INPUT!F35</f>
        <v>0</v>
      </c>
      <c r="L11" s="27">
        <f t="shared" si="5"/>
        <v>0</v>
      </c>
      <c r="M11" s="27">
        <f t="shared" si="6"/>
        <v>0</v>
      </c>
      <c r="N11" s="27">
        <f t="shared" si="7"/>
        <v>0</v>
      </c>
      <c r="P11" s="75">
        <f t="shared" si="10"/>
        <v>0</v>
      </c>
      <c r="Q11" s="75">
        <f t="shared" si="8"/>
        <v>0</v>
      </c>
      <c r="R11" s="75">
        <f t="shared" si="11"/>
        <v>0</v>
      </c>
      <c r="S11" s="75">
        <f t="shared" ref="S11:S18" si="12">IF($P$25&gt;=1200,ROUND($P$25/S$6,-1),0)</f>
        <v>0</v>
      </c>
      <c r="T11" s="75">
        <v>0</v>
      </c>
      <c r="U11" s="75">
        <v>0</v>
      </c>
      <c r="V11" s="75">
        <v>0</v>
      </c>
      <c r="W11" s="75">
        <v>0</v>
      </c>
      <c r="X11" s="75">
        <v>0</v>
      </c>
      <c r="Y11" s="75">
        <v>0</v>
      </c>
      <c r="Z11" s="75">
        <v>0</v>
      </c>
      <c r="AA11" s="75">
        <v>0</v>
      </c>
      <c r="AB11" s="176">
        <f>INPUT!G35</f>
        <v>0</v>
      </c>
      <c r="AC11" s="27">
        <f t="shared" si="0"/>
        <v>0</v>
      </c>
    </row>
    <row r="12" spans="1:29" ht="24" customHeight="1" x14ac:dyDescent="0.3">
      <c r="A12" s="123">
        <f t="shared" si="9"/>
        <v>46204</v>
      </c>
      <c r="B12" s="27">
        <f>INPUT!I51</f>
        <v>0</v>
      </c>
      <c r="C12" s="27">
        <f>B12*INPUT!B36</f>
        <v>0</v>
      </c>
      <c r="D12" s="27">
        <f>IF((B12*0.12)&lt;$D$24,(B12*0.12),$D$24)</f>
        <v>0</v>
      </c>
      <c r="E12" s="27">
        <f t="shared" si="2"/>
        <v>0</v>
      </c>
      <c r="F12" s="27">
        <f>INPUT!C36</f>
        <v>0</v>
      </c>
      <c r="G12" s="27">
        <f t="shared" si="3"/>
        <v>0</v>
      </c>
      <c r="H12" s="27">
        <f t="shared" si="4"/>
        <v>0</v>
      </c>
      <c r="I12" s="27">
        <f>IF(B12&lt;=0,0,INPUT!D36)</f>
        <v>0</v>
      </c>
      <c r="J12" s="27">
        <f>INPUT!E36</f>
        <v>0</v>
      </c>
      <c r="K12" s="27">
        <f>INPUT!F36</f>
        <v>0</v>
      </c>
      <c r="L12" s="27">
        <f t="shared" si="5"/>
        <v>0</v>
      </c>
      <c r="M12" s="27">
        <f t="shared" si="6"/>
        <v>0</v>
      </c>
      <c r="N12" s="27">
        <f t="shared" si="7"/>
        <v>0</v>
      </c>
      <c r="P12" s="75">
        <f t="shared" si="10"/>
        <v>0</v>
      </c>
      <c r="Q12" s="75">
        <f t="shared" si="8"/>
        <v>0</v>
      </c>
      <c r="R12" s="75">
        <f t="shared" si="11"/>
        <v>0</v>
      </c>
      <c r="S12" s="75">
        <f t="shared" si="12"/>
        <v>0</v>
      </c>
      <c r="T12" s="75">
        <f t="shared" ref="T12:Z18" si="13">IF($P$25&gt;=1200,ROUND($P$25/T$6,-1),0)</f>
        <v>0</v>
      </c>
      <c r="U12" s="75">
        <v>0</v>
      </c>
      <c r="V12" s="75">
        <v>0</v>
      </c>
      <c r="W12" s="75">
        <v>0</v>
      </c>
      <c r="X12" s="75">
        <v>0</v>
      </c>
      <c r="Y12" s="75">
        <v>0</v>
      </c>
      <c r="Z12" s="75">
        <v>0</v>
      </c>
      <c r="AA12" s="75">
        <v>0</v>
      </c>
      <c r="AB12" s="176">
        <f>INPUT!G36</f>
        <v>0</v>
      </c>
      <c r="AC12" s="27">
        <f t="shared" si="0"/>
        <v>0</v>
      </c>
    </row>
    <row r="13" spans="1:29" ht="24" customHeight="1" x14ac:dyDescent="0.3">
      <c r="A13" s="123">
        <f t="shared" si="9"/>
        <v>46235</v>
      </c>
      <c r="B13" s="27">
        <f>INPUT!I52</f>
        <v>0</v>
      </c>
      <c r="C13" s="27">
        <f>B13*INPUT!B37</f>
        <v>0</v>
      </c>
      <c r="D13" s="27">
        <f t="shared" ref="D13:D19" si="14">IF((B13*0.12)&lt;$D$24,(B13*0.12),$D$24)</f>
        <v>0</v>
      </c>
      <c r="E13" s="27">
        <f t="shared" si="2"/>
        <v>0</v>
      </c>
      <c r="F13" s="27">
        <f>INPUT!C37</f>
        <v>0</v>
      </c>
      <c r="G13" s="27">
        <f t="shared" si="3"/>
        <v>0</v>
      </c>
      <c r="H13" s="27">
        <f t="shared" si="4"/>
        <v>0</v>
      </c>
      <c r="I13" s="27">
        <f>IF(B13&lt;=0,0,INPUT!D37)</f>
        <v>0</v>
      </c>
      <c r="J13" s="27">
        <f>INPUT!E37</f>
        <v>0</v>
      </c>
      <c r="K13" s="27">
        <f>INPUT!F37</f>
        <v>0</v>
      </c>
      <c r="L13" s="27">
        <f t="shared" si="5"/>
        <v>0</v>
      </c>
      <c r="M13" s="27">
        <f t="shared" si="6"/>
        <v>0</v>
      </c>
      <c r="N13" s="27">
        <f t="shared" si="7"/>
        <v>0</v>
      </c>
      <c r="P13" s="75">
        <f t="shared" si="10"/>
        <v>0</v>
      </c>
      <c r="Q13" s="75">
        <f t="shared" si="8"/>
        <v>0</v>
      </c>
      <c r="R13" s="75">
        <f t="shared" si="11"/>
        <v>0</v>
      </c>
      <c r="S13" s="75">
        <f t="shared" si="12"/>
        <v>0</v>
      </c>
      <c r="T13" s="75">
        <f t="shared" si="13"/>
        <v>0</v>
      </c>
      <c r="U13" s="75">
        <f t="shared" si="13"/>
        <v>0</v>
      </c>
      <c r="V13" s="75">
        <v>0</v>
      </c>
      <c r="W13" s="75">
        <v>0</v>
      </c>
      <c r="X13" s="75">
        <v>0</v>
      </c>
      <c r="Y13" s="75">
        <v>0</v>
      </c>
      <c r="Z13" s="75">
        <v>0</v>
      </c>
      <c r="AA13" s="75">
        <v>0</v>
      </c>
      <c r="AB13" s="176">
        <f>INPUT!G37</f>
        <v>0</v>
      </c>
      <c r="AC13" s="27">
        <f t="shared" si="0"/>
        <v>0</v>
      </c>
    </row>
    <row r="14" spans="1:29" ht="24" customHeight="1" x14ac:dyDescent="0.3">
      <c r="A14" s="123">
        <f t="shared" si="9"/>
        <v>46266</v>
      </c>
      <c r="B14" s="27">
        <f>INPUT!I53</f>
        <v>0</v>
      </c>
      <c r="C14" s="27">
        <f>B14*INPUT!B38</f>
        <v>0</v>
      </c>
      <c r="D14" s="27">
        <f t="shared" si="14"/>
        <v>0</v>
      </c>
      <c r="E14" s="27">
        <f t="shared" si="2"/>
        <v>0</v>
      </c>
      <c r="F14" s="27">
        <f>INPUT!C38</f>
        <v>0</v>
      </c>
      <c r="G14" s="27">
        <f t="shared" si="3"/>
        <v>0</v>
      </c>
      <c r="H14" s="27">
        <f t="shared" si="4"/>
        <v>0</v>
      </c>
      <c r="I14" s="27">
        <f>IF(B14&lt;=0,0,INPUT!D38)</f>
        <v>0</v>
      </c>
      <c r="J14" s="27">
        <f>INPUT!E38</f>
        <v>0</v>
      </c>
      <c r="K14" s="27">
        <f>INPUT!F38</f>
        <v>0</v>
      </c>
      <c r="L14" s="27">
        <f t="shared" si="5"/>
        <v>0</v>
      </c>
      <c r="M14" s="27">
        <f t="shared" si="6"/>
        <v>0</v>
      </c>
      <c r="N14" s="27">
        <f t="shared" si="7"/>
        <v>0</v>
      </c>
      <c r="P14" s="75">
        <f t="shared" si="10"/>
        <v>0</v>
      </c>
      <c r="Q14" s="75">
        <f t="shared" si="8"/>
        <v>0</v>
      </c>
      <c r="R14" s="75">
        <f t="shared" si="11"/>
        <v>0</v>
      </c>
      <c r="S14" s="75">
        <f t="shared" si="12"/>
        <v>0</v>
      </c>
      <c r="T14" s="75">
        <f t="shared" si="13"/>
        <v>0</v>
      </c>
      <c r="U14" s="75">
        <f t="shared" si="13"/>
        <v>0</v>
      </c>
      <c r="V14" s="75">
        <f t="shared" si="13"/>
        <v>0</v>
      </c>
      <c r="W14" s="75">
        <v>0</v>
      </c>
      <c r="X14" s="75">
        <v>0</v>
      </c>
      <c r="Y14" s="75">
        <v>0</v>
      </c>
      <c r="Z14" s="75">
        <v>0</v>
      </c>
      <c r="AA14" s="75">
        <v>0</v>
      </c>
      <c r="AB14" s="176">
        <f>INPUT!G38</f>
        <v>0</v>
      </c>
      <c r="AC14" s="27">
        <f t="shared" si="0"/>
        <v>0</v>
      </c>
    </row>
    <row r="15" spans="1:29" ht="24" customHeight="1" x14ac:dyDescent="0.3">
      <c r="A15" s="123">
        <f t="shared" si="9"/>
        <v>46296</v>
      </c>
      <c r="B15" s="27">
        <f>INPUT!I54</f>
        <v>0</v>
      </c>
      <c r="C15" s="27">
        <f>B15*INPUT!B39</f>
        <v>0</v>
      </c>
      <c r="D15" s="27">
        <f t="shared" si="14"/>
        <v>0</v>
      </c>
      <c r="E15" s="27">
        <f t="shared" si="2"/>
        <v>0</v>
      </c>
      <c r="F15" s="27">
        <f>INPUT!C39</f>
        <v>0</v>
      </c>
      <c r="G15" s="27">
        <f t="shared" si="3"/>
        <v>0</v>
      </c>
      <c r="H15" s="27">
        <f t="shared" si="4"/>
        <v>0</v>
      </c>
      <c r="I15" s="27">
        <f>IF(B15&lt;=0,0,INPUT!D39)</f>
        <v>0</v>
      </c>
      <c r="J15" s="27">
        <f>INPUT!E39</f>
        <v>0</v>
      </c>
      <c r="K15" s="27">
        <f>INPUT!F39</f>
        <v>0</v>
      </c>
      <c r="L15" s="27">
        <f t="shared" si="5"/>
        <v>0</v>
      </c>
      <c r="M15" s="27">
        <f t="shared" si="6"/>
        <v>0</v>
      </c>
      <c r="N15" s="27">
        <f t="shared" si="7"/>
        <v>0</v>
      </c>
      <c r="P15" s="75">
        <f t="shared" si="10"/>
        <v>0</v>
      </c>
      <c r="Q15" s="75">
        <f t="shared" si="8"/>
        <v>0</v>
      </c>
      <c r="R15" s="75">
        <f t="shared" si="11"/>
        <v>0</v>
      </c>
      <c r="S15" s="75">
        <f t="shared" si="12"/>
        <v>0</v>
      </c>
      <c r="T15" s="75">
        <f t="shared" si="13"/>
        <v>0</v>
      </c>
      <c r="U15" s="75">
        <f t="shared" si="13"/>
        <v>0</v>
      </c>
      <c r="V15" s="75">
        <f t="shared" si="13"/>
        <v>0</v>
      </c>
      <c r="W15" s="75">
        <f t="shared" si="13"/>
        <v>0</v>
      </c>
      <c r="X15" s="75">
        <v>0</v>
      </c>
      <c r="Y15" s="75">
        <v>0</v>
      </c>
      <c r="Z15" s="75">
        <v>0</v>
      </c>
      <c r="AA15" s="75">
        <v>0</v>
      </c>
      <c r="AB15" s="176">
        <f>INPUT!G39</f>
        <v>0</v>
      </c>
      <c r="AC15" s="27">
        <f t="shared" si="0"/>
        <v>0</v>
      </c>
    </row>
    <row r="16" spans="1:29" ht="24" customHeight="1" x14ac:dyDescent="0.3">
      <c r="A16" s="123">
        <f t="shared" si="9"/>
        <v>46327</v>
      </c>
      <c r="B16" s="27">
        <f>INPUT!I55</f>
        <v>0</v>
      </c>
      <c r="C16" s="27">
        <f>B16*INPUT!B40</f>
        <v>0</v>
      </c>
      <c r="D16" s="27">
        <f t="shared" si="14"/>
        <v>0</v>
      </c>
      <c r="E16" s="27">
        <f t="shared" si="2"/>
        <v>0</v>
      </c>
      <c r="F16" s="27">
        <f>INPUT!C40</f>
        <v>0</v>
      </c>
      <c r="G16" s="27">
        <f t="shared" si="3"/>
        <v>0</v>
      </c>
      <c r="H16" s="27">
        <f t="shared" si="4"/>
        <v>0</v>
      </c>
      <c r="I16" s="27">
        <f>IF(B16&lt;=0,0,INPUT!D40)</f>
        <v>0</v>
      </c>
      <c r="J16" s="27">
        <f>INPUT!E40</f>
        <v>0</v>
      </c>
      <c r="K16" s="27">
        <f>INPUT!F40</f>
        <v>0</v>
      </c>
      <c r="L16" s="27">
        <f t="shared" si="5"/>
        <v>0</v>
      </c>
      <c r="M16" s="27">
        <f t="shared" si="6"/>
        <v>0</v>
      </c>
      <c r="N16" s="27">
        <f t="shared" si="7"/>
        <v>0</v>
      </c>
      <c r="P16" s="75">
        <f t="shared" si="10"/>
        <v>0</v>
      </c>
      <c r="Q16" s="75">
        <f t="shared" si="8"/>
        <v>0</v>
      </c>
      <c r="R16" s="75">
        <f t="shared" si="11"/>
        <v>0</v>
      </c>
      <c r="S16" s="75">
        <f t="shared" si="12"/>
        <v>0</v>
      </c>
      <c r="T16" s="75">
        <f t="shared" si="13"/>
        <v>0</v>
      </c>
      <c r="U16" s="75">
        <f t="shared" si="13"/>
        <v>0</v>
      </c>
      <c r="V16" s="75">
        <f t="shared" si="13"/>
        <v>0</v>
      </c>
      <c r="W16" s="75">
        <f t="shared" si="13"/>
        <v>0</v>
      </c>
      <c r="X16" s="75">
        <f t="shared" si="13"/>
        <v>0</v>
      </c>
      <c r="Y16" s="75">
        <v>0</v>
      </c>
      <c r="Z16" s="75">
        <v>0</v>
      </c>
      <c r="AA16" s="75">
        <v>0</v>
      </c>
      <c r="AB16" s="176">
        <f>INPUT!G40</f>
        <v>0</v>
      </c>
      <c r="AC16" s="27">
        <f t="shared" si="0"/>
        <v>0</v>
      </c>
    </row>
    <row r="17" spans="1:29" ht="24" customHeight="1" x14ac:dyDescent="0.3">
      <c r="A17" s="123">
        <f t="shared" si="9"/>
        <v>46357</v>
      </c>
      <c r="B17" s="27">
        <f>INPUT!I56</f>
        <v>0</v>
      </c>
      <c r="C17" s="27">
        <f>B17*INPUT!B41</f>
        <v>0</v>
      </c>
      <c r="D17" s="27">
        <f t="shared" si="14"/>
        <v>0</v>
      </c>
      <c r="E17" s="27">
        <f t="shared" si="2"/>
        <v>0</v>
      </c>
      <c r="F17" s="27">
        <f>INPUT!C41</f>
        <v>0</v>
      </c>
      <c r="G17" s="27">
        <f t="shared" si="3"/>
        <v>0</v>
      </c>
      <c r="H17" s="27">
        <f t="shared" si="4"/>
        <v>0</v>
      </c>
      <c r="I17" s="27">
        <f>IF(B17&lt;=0,0,INPUT!D41)</f>
        <v>0</v>
      </c>
      <c r="J17" s="27">
        <f>INPUT!E41</f>
        <v>0</v>
      </c>
      <c r="K17" s="27">
        <f>INPUT!F41</f>
        <v>0</v>
      </c>
      <c r="L17" s="27">
        <f t="shared" si="5"/>
        <v>0</v>
      </c>
      <c r="M17" s="27">
        <f t="shared" si="6"/>
        <v>0</v>
      </c>
      <c r="N17" s="27">
        <f t="shared" si="7"/>
        <v>0</v>
      </c>
      <c r="P17" s="75">
        <f t="shared" si="10"/>
        <v>0</v>
      </c>
      <c r="Q17" s="75">
        <f t="shared" si="8"/>
        <v>0</v>
      </c>
      <c r="R17" s="75">
        <f t="shared" si="11"/>
        <v>0</v>
      </c>
      <c r="S17" s="75">
        <f t="shared" si="12"/>
        <v>0</v>
      </c>
      <c r="T17" s="75">
        <f t="shared" si="13"/>
        <v>0</v>
      </c>
      <c r="U17" s="75">
        <f t="shared" si="13"/>
        <v>0</v>
      </c>
      <c r="V17" s="75">
        <f t="shared" si="13"/>
        <v>0</v>
      </c>
      <c r="W17" s="75">
        <f t="shared" si="13"/>
        <v>0</v>
      </c>
      <c r="X17" s="75">
        <f t="shared" si="13"/>
        <v>0</v>
      </c>
      <c r="Y17" s="75">
        <f t="shared" si="13"/>
        <v>0</v>
      </c>
      <c r="Z17" s="75">
        <v>0</v>
      </c>
      <c r="AA17" s="75">
        <v>0</v>
      </c>
      <c r="AB17" s="176">
        <f>INPUT!G41</f>
        <v>0</v>
      </c>
      <c r="AC17" s="27">
        <f t="shared" si="0"/>
        <v>0</v>
      </c>
    </row>
    <row r="18" spans="1:29" ht="24" customHeight="1" x14ac:dyDescent="0.3">
      <c r="A18" s="123">
        <f t="shared" si="9"/>
        <v>46388</v>
      </c>
      <c r="B18" s="27">
        <f>INPUT!I57</f>
        <v>0</v>
      </c>
      <c r="C18" s="27">
        <f>B18*INPUT!B42</f>
        <v>0</v>
      </c>
      <c r="D18" s="27">
        <f t="shared" si="14"/>
        <v>0</v>
      </c>
      <c r="E18" s="27">
        <f t="shared" si="2"/>
        <v>0</v>
      </c>
      <c r="F18" s="27">
        <f>INPUT!C42</f>
        <v>0</v>
      </c>
      <c r="G18" s="27">
        <f t="shared" si="3"/>
        <v>0</v>
      </c>
      <c r="H18" s="27">
        <f t="shared" si="4"/>
        <v>0</v>
      </c>
      <c r="I18" s="27">
        <f>IF(B18&lt;=0,0,INPUT!D42)</f>
        <v>0</v>
      </c>
      <c r="J18" s="27">
        <f>INPUT!E42</f>
        <v>0</v>
      </c>
      <c r="K18" s="27">
        <f>INPUT!F42</f>
        <v>0</v>
      </c>
      <c r="L18" s="27">
        <f t="shared" si="5"/>
        <v>0</v>
      </c>
      <c r="M18" s="27">
        <f t="shared" si="6"/>
        <v>0</v>
      </c>
      <c r="N18" s="27">
        <f t="shared" si="7"/>
        <v>0</v>
      </c>
      <c r="P18" s="75">
        <f t="shared" si="10"/>
        <v>0</v>
      </c>
      <c r="Q18" s="75">
        <f t="shared" si="8"/>
        <v>0</v>
      </c>
      <c r="R18" s="75">
        <f t="shared" si="11"/>
        <v>0</v>
      </c>
      <c r="S18" s="75">
        <f t="shared" si="12"/>
        <v>0</v>
      </c>
      <c r="T18" s="75">
        <f t="shared" si="13"/>
        <v>0</v>
      </c>
      <c r="U18" s="75">
        <f t="shared" si="13"/>
        <v>0</v>
      </c>
      <c r="V18" s="75">
        <f t="shared" si="13"/>
        <v>0</v>
      </c>
      <c r="W18" s="75">
        <f t="shared" si="13"/>
        <v>0</v>
      </c>
      <c r="X18" s="75">
        <f t="shared" si="13"/>
        <v>0</v>
      </c>
      <c r="Y18" s="75">
        <f t="shared" si="13"/>
        <v>0</v>
      </c>
      <c r="Z18" s="75">
        <f t="shared" si="13"/>
        <v>0</v>
      </c>
      <c r="AA18" s="75">
        <v>0</v>
      </c>
      <c r="AB18" s="176">
        <f>INPUT!G42</f>
        <v>0</v>
      </c>
      <c r="AC18" s="27">
        <f t="shared" si="0"/>
        <v>0</v>
      </c>
    </row>
    <row r="19" spans="1:29" ht="24" customHeight="1" x14ac:dyDescent="0.3">
      <c r="A19" s="123">
        <f t="shared" si="9"/>
        <v>46419</v>
      </c>
      <c r="B19" s="27">
        <f>INPUT!I58</f>
        <v>0</v>
      </c>
      <c r="C19" s="27">
        <f>B19*INPUT!B43</f>
        <v>0</v>
      </c>
      <c r="D19" s="27">
        <f t="shared" si="14"/>
        <v>0</v>
      </c>
      <c r="E19" s="27">
        <f t="shared" si="2"/>
        <v>0</v>
      </c>
      <c r="F19" s="27">
        <f>INPUT!C43</f>
        <v>0</v>
      </c>
      <c r="G19" s="27">
        <f t="shared" si="3"/>
        <v>0</v>
      </c>
      <c r="H19" s="27">
        <f t="shared" si="4"/>
        <v>0</v>
      </c>
      <c r="I19" s="27">
        <f>IF(B19&lt;=0,0,INPUT!D43)</f>
        <v>0</v>
      </c>
      <c r="J19" s="27">
        <f>INPUT!E43</f>
        <v>0</v>
      </c>
      <c r="K19" s="27">
        <f>INPUT!F43</f>
        <v>0</v>
      </c>
      <c r="L19" s="27">
        <f t="shared" si="5"/>
        <v>0</v>
      </c>
      <c r="M19" s="27">
        <f t="shared" si="6"/>
        <v>0</v>
      </c>
      <c r="N19" s="27">
        <f t="shared" si="7"/>
        <v>0</v>
      </c>
      <c r="P19" s="75">
        <f>ROUNDUP(P25-SUM(P8:P18),-1)</f>
        <v>0</v>
      </c>
      <c r="Q19" s="75">
        <f>ROUNDUP($P$25-SUM(Q8:Q18),-1)</f>
        <v>0</v>
      </c>
      <c r="R19" s="75">
        <f t="shared" ref="R19:Z19" si="15">ROUNDUP($P$25-SUM(R8:R18),-1)</f>
        <v>0</v>
      </c>
      <c r="S19" s="75">
        <f t="shared" si="15"/>
        <v>0</v>
      </c>
      <c r="T19" s="75">
        <f t="shared" si="15"/>
        <v>0</v>
      </c>
      <c r="U19" s="75">
        <f t="shared" si="15"/>
        <v>0</v>
      </c>
      <c r="V19" s="75">
        <f t="shared" si="15"/>
        <v>0</v>
      </c>
      <c r="W19" s="75">
        <f t="shared" si="15"/>
        <v>0</v>
      </c>
      <c r="X19" s="75">
        <f t="shared" si="15"/>
        <v>0</v>
      </c>
      <c r="Y19" s="75">
        <f t="shared" si="15"/>
        <v>0</v>
      </c>
      <c r="Z19" s="75">
        <f t="shared" si="15"/>
        <v>0</v>
      </c>
      <c r="AA19" s="75">
        <f>ROUNDUP(P25,-1)</f>
        <v>0</v>
      </c>
      <c r="AB19" s="176">
        <f>IF((AB23-SUM(AB8:AB18))&lt;=0,0,AB23-SUM(AB8:AB18))</f>
        <v>0</v>
      </c>
      <c r="AC19" s="27">
        <f t="shared" si="0"/>
        <v>0</v>
      </c>
    </row>
    <row r="20" spans="1:29" ht="24" customHeight="1" x14ac:dyDescent="0.3">
      <c r="A20" s="48" t="s">
        <v>60</v>
      </c>
      <c r="B20" s="28"/>
      <c r="C20" s="28"/>
      <c r="D20" s="28"/>
      <c r="E20" s="28"/>
      <c r="F20" s="28"/>
      <c r="G20" s="27">
        <f>INPUT!D25</f>
        <v>0</v>
      </c>
      <c r="H20" s="12"/>
      <c r="I20" s="28"/>
      <c r="J20" s="28"/>
      <c r="K20" s="28"/>
      <c r="L20" s="29"/>
      <c r="M20" s="27"/>
      <c r="N20" s="27">
        <f>G20-M20</f>
        <v>0</v>
      </c>
      <c r="P20" s="7"/>
    </row>
    <row r="21" spans="1:29" ht="24" customHeight="1" x14ac:dyDescent="0.3">
      <c r="A21" s="48" t="s">
        <v>59</v>
      </c>
      <c r="B21" s="28"/>
      <c r="C21" s="28"/>
      <c r="D21" s="28"/>
      <c r="E21" s="28"/>
      <c r="F21" s="28"/>
      <c r="G21" s="27">
        <f>INPUT!D26</f>
        <v>0</v>
      </c>
      <c r="H21" s="199"/>
      <c r="I21" s="28"/>
      <c r="J21" s="28"/>
      <c r="K21" s="28"/>
      <c r="L21" s="29"/>
      <c r="M21" s="27"/>
      <c r="N21" s="27">
        <f t="shared" si="7"/>
        <v>0</v>
      </c>
      <c r="P21" s="7"/>
    </row>
    <row r="22" spans="1:29" ht="24" customHeight="1" x14ac:dyDescent="0.3">
      <c r="A22" s="49" t="s">
        <v>40</v>
      </c>
      <c r="B22" s="196">
        <f>SUM(B8:B21)</f>
        <v>0</v>
      </c>
      <c r="C22" s="196">
        <f t="shared" ref="C22:N22" si="16">SUM(C8:C21)</f>
        <v>0</v>
      </c>
      <c r="D22" s="196">
        <f t="shared" si="16"/>
        <v>0</v>
      </c>
      <c r="E22" s="196">
        <f t="shared" si="16"/>
        <v>0</v>
      </c>
      <c r="F22" s="196">
        <f t="shared" si="16"/>
        <v>0</v>
      </c>
      <c r="G22" s="196">
        <f>SUM(G8:G21)</f>
        <v>0</v>
      </c>
      <c r="H22" s="196">
        <f t="shared" si="16"/>
        <v>0</v>
      </c>
      <c r="I22" s="196">
        <f t="shared" si="16"/>
        <v>0</v>
      </c>
      <c r="J22" s="196">
        <f t="shared" si="16"/>
        <v>0</v>
      </c>
      <c r="K22" s="196">
        <f t="shared" si="16"/>
        <v>0</v>
      </c>
      <c r="L22" s="196">
        <f>SUM(L8:L21)</f>
        <v>0</v>
      </c>
      <c r="M22" s="196">
        <f t="shared" si="16"/>
        <v>0</v>
      </c>
      <c r="N22" s="196">
        <f t="shared" si="16"/>
        <v>0</v>
      </c>
      <c r="P22" s="50">
        <f>SUM(P8:P21)</f>
        <v>0</v>
      </c>
      <c r="Q22" s="50">
        <f>SUM(Q8:Q21)</f>
        <v>0</v>
      </c>
      <c r="R22" s="50">
        <f t="shared" ref="R22:AB22" si="17">SUM(R8:R21)</f>
        <v>0</v>
      </c>
      <c r="S22" s="50">
        <f t="shared" si="17"/>
        <v>0</v>
      </c>
      <c r="T22" s="50">
        <f t="shared" si="17"/>
        <v>0</v>
      </c>
      <c r="U22" s="50">
        <f t="shared" si="17"/>
        <v>0</v>
      </c>
      <c r="V22" s="50">
        <f t="shared" si="17"/>
        <v>0</v>
      </c>
      <c r="W22" s="50">
        <f t="shared" si="17"/>
        <v>0</v>
      </c>
      <c r="X22" s="50">
        <f t="shared" si="17"/>
        <v>0</v>
      </c>
      <c r="Y22" s="50">
        <f t="shared" si="17"/>
        <v>0</v>
      </c>
      <c r="Z22" s="50">
        <f t="shared" si="17"/>
        <v>0</v>
      </c>
      <c r="AA22" s="50">
        <f t="shared" si="17"/>
        <v>0</v>
      </c>
      <c r="AB22" s="50">
        <f t="shared" si="17"/>
        <v>0</v>
      </c>
    </row>
    <row r="23" spans="1:29" s="80" customFormat="1" hidden="1" x14ac:dyDescent="0.3">
      <c r="A23" s="78"/>
      <c r="B23" s="78"/>
      <c r="C23" s="78"/>
      <c r="D23" s="79">
        <f>INPUT!L19</f>
        <v>12000</v>
      </c>
      <c r="E23" s="78" t="str">
        <f>INPUT!D21</f>
        <v>N</v>
      </c>
      <c r="F23" s="78"/>
      <c r="G23" s="78"/>
      <c r="H23" s="78" t="str">
        <f>INPUT!D22</f>
        <v>N</v>
      </c>
      <c r="I23" s="78"/>
      <c r="J23" s="78"/>
      <c r="K23" s="78"/>
      <c r="L23" s="78"/>
      <c r="M23" s="78"/>
      <c r="P23" s="78">
        <f>TAX!C29</f>
        <v>0</v>
      </c>
      <c r="AB23" s="80">
        <f>ROUNDUP(P25,-1)</f>
        <v>0</v>
      </c>
    </row>
    <row r="24" spans="1:29" s="80" customFormat="1" hidden="1" x14ac:dyDescent="0.3">
      <c r="D24" s="80">
        <f>INPUT!L20</f>
        <v>12000</v>
      </c>
      <c r="P24" s="80">
        <f>TAX!I29</f>
        <v>0</v>
      </c>
      <c r="AA24" s="80" t="s">
        <v>441</v>
      </c>
      <c r="AB24" s="181">
        <f>SUM(AB8:AB18)</f>
        <v>0</v>
      </c>
    </row>
    <row r="25" spans="1:29" s="80" customFormat="1" x14ac:dyDescent="0.3">
      <c r="P25" s="80">
        <f>IF(P23&gt;P24,P24,P23)</f>
        <v>0</v>
      </c>
    </row>
    <row r="26" spans="1:29" s="80" customFormat="1" x14ac:dyDescent="0.3"/>
    <row r="27" spans="1:29" x14ac:dyDescent="0.3">
      <c r="N27" s="77" t="s">
        <v>481</v>
      </c>
    </row>
  </sheetData>
  <sheetProtection algorithmName="SHA-512" hashValue="BQN48LryREwKEffti87fCFbIVZ0wez+pkcioV7rCaJX4WfD5jR5zVHF23FcCi+i2/zP0xRUm9phs2sNPSOVIfg==" saltValue="f6SY01C8z6eoea9o7YnOUw==" spinCount="100000" sheet="1" objects="1" scenarios="1"/>
  <mergeCells count="13">
    <mergeCell ref="A5:C5"/>
    <mergeCell ref="D5:I5"/>
    <mergeCell ref="L4:N4"/>
    <mergeCell ref="J4:K4"/>
    <mergeCell ref="J5:K5"/>
    <mergeCell ref="L5:N5"/>
    <mergeCell ref="A4:C4"/>
    <mergeCell ref="D4:I4"/>
    <mergeCell ref="A3:C3"/>
    <mergeCell ref="D3:I3"/>
    <mergeCell ref="J3:K3"/>
    <mergeCell ref="L3:N3"/>
    <mergeCell ref="A1:J1"/>
  </mergeCells>
  <printOptions horizontalCentered="1"/>
  <pageMargins left="0.32" right="0.28999999999999998" top="0.47" bottom="0.51" header="0.3" footer="0.3"/>
  <pageSetup paperSize="9" orientation="landscape" r:id="rId1"/>
  <headerFooter>
    <oddFooter>&amp;L&amp;8www.wetheteachers.in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4"/>
  <sheetViews>
    <sheetView showGridLines="0" topLeftCell="A12" zoomScale="80" zoomScaleNormal="80" workbookViewId="0">
      <selection activeCell="A31" sqref="A31:I31"/>
    </sheetView>
  </sheetViews>
  <sheetFormatPr defaultColWidth="0" defaultRowHeight="14.4" zeroHeight="1" x14ac:dyDescent="0.3"/>
  <cols>
    <col min="1" max="1" width="28.5546875" customWidth="1"/>
    <col min="2" max="2" width="6" customWidth="1"/>
    <col min="3" max="3" width="11.5546875" customWidth="1"/>
    <col min="4" max="4" width="9.6640625" hidden="1" customWidth="1"/>
    <col min="5" max="5" width="10.33203125" hidden="1" customWidth="1"/>
    <col min="6" max="6" width="4" customWidth="1"/>
    <col min="7" max="7" width="29" customWidth="1"/>
    <col min="8" max="8" width="6.44140625" customWidth="1"/>
    <col min="9" max="9" width="11.6640625" customWidth="1"/>
    <col min="10" max="12" width="10" hidden="1" customWidth="1"/>
    <col min="13" max="13" width="8.88671875" customWidth="1"/>
    <col min="14" max="14" width="14.33203125" bestFit="1" customWidth="1"/>
    <col min="15" max="15" width="11.33203125" bestFit="1" customWidth="1"/>
    <col min="16" max="16" width="9.33203125" bestFit="1" customWidth="1"/>
    <col min="17" max="17" width="8.88671875" customWidth="1"/>
    <col min="18" max="16384" width="8.88671875" hidden="1"/>
  </cols>
  <sheetData>
    <row r="1" spans="1:19" ht="23.4" x14ac:dyDescent="0.45">
      <c r="A1" s="237" t="s">
        <v>485</v>
      </c>
      <c r="B1" s="237"/>
      <c r="C1" s="237"/>
      <c r="D1" s="237"/>
      <c r="E1" s="237"/>
      <c r="F1" s="237"/>
      <c r="G1" s="237"/>
      <c r="H1" s="237"/>
      <c r="I1" s="237"/>
    </row>
    <row r="2" spans="1:19" x14ac:dyDescent="0.3"/>
    <row r="3" spans="1:19" ht="23.25" customHeight="1" x14ac:dyDescent="0.4">
      <c r="A3" s="243" t="s">
        <v>68</v>
      </c>
      <c r="B3" s="243"/>
      <c r="C3" s="243"/>
      <c r="D3" s="20"/>
      <c r="E3" s="20"/>
      <c r="F3" s="18"/>
      <c r="G3" s="244" t="s">
        <v>455</v>
      </c>
      <c r="H3" s="244"/>
      <c r="I3" s="244"/>
    </row>
    <row r="4" spans="1:19" ht="21.9" customHeight="1" x14ac:dyDescent="0.3">
      <c r="A4" s="241" t="s">
        <v>119</v>
      </c>
      <c r="B4" s="242"/>
      <c r="C4" s="27">
        <f>STATEMENT!G22</f>
        <v>0</v>
      </c>
      <c r="D4" s="16"/>
      <c r="E4" s="16"/>
      <c r="F4" s="10"/>
      <c r="G4" s="241" t="s">
        <v>119</v>
      </c>
      <c r="H4" s="242"/>
      <c r="I4" s="27">
        <f>STATEMENT!G22</f>
        <v>0</v>
      </c>
    </row>
    <row r="5" spans="1:19" ht="21.9" customHeight="1" x14ac:dyDescent="0.3">
      <c r="A5" s="241" t="s">
        <v>121</v>
      </c>
      <c r="B5" s="242"/>
      <c r="C5" s="27">
        <f>INPUT!J31+INPUT!J34+INPUT!J35</f>
        <v>0</v>
      </c>
      <c r="D5" s="16"/>
      <c r="E5" s="16"/>
      <c r="F5" s="10"/>
      <c r="G5" s="241" t="s">
        <v>121</v>
      </c>
      <c r="H5" s="242"/>
      <c r="I5" s="27">
        <f>C5</f>
        <v>0</v>
      </c>
    </row>
    <row r="6" spans="1:19" ht="21.9" customHeight="1" x14ac:dyDescent="0.3">
      <c r="A6" s="241" t="s">
        <v>109</v>
      </c>
      <c r="B6" s="242"/>
      <c r="C6" s="27">
        <f>IF(INPUT!M21="N",0,IF((INPUT!D23*12)&gt;INPUT!L21,INPUT!L21,INPUT!D23*12))</f>
        <v>0</v>
      </c>
      <c r="D6" s="16"/>
      <c r="E6" s="16"/>
      <c r="F6" s="10"/>
      <c r="G6" s="241" t="s">
        <v>109</v>
      </c>
      <c r="H6" s="242"/>
      <c r="I6" s="27">
        <v>0</v>
      </c>
    </row>
    <row r="7" spans="1:19" ht="21.9" customHeight="1" x14ac:dyDescent="0.3">
      <c r="A7" s="241" t="s">
        <v>71</v>
      </c>
      <c r="B7" s="242"/>
      <c r="C7" s="27">
        <f>STATEMENT!H22</f>
        <v>0</v>
      </c>
      <c r="D7" s="16"/>
      <c r="E7" s="16"/>
      <c r="F7" s="10"/>
      <c r="G7" s="241" t="s">
        <v>71</v>
      </c>
      <c r="H7" s="242"/>
      <c r="I7" s="27">
        <v>0</v>
      </c>
    </row>
    <row r="8" spans="1:19" ht="21.9" customHeight="1" x14ac:dyDescent="0.3">
      <c r="A8" s="241" t="s">
        <v>72</v>
      </c>
      <c r="B8" s="242"/>
      <c r="C8" s="27">
        <v>50000</v>
      </c>
      <c r="D8" s="16"/>
      <c r="E8" s="16"/>
      <c r="F8" s="10"/>
      <c r="G8" s="241" t="s">
        <v>72</v>
      </c>
      <c r="H8" s="242"/>
      <c r="I8" s="27">
        <v>75000</v>
      </c>
    </row>
    <row r="9" spans="1:19" ht="21.9" customHeight="1" x14ac:dyDescent="0.3">
      <c r="A9" s="241" t="s">
        <v>56</v>
      </c>
      <c r="B9" s="242"/>
      <c r="C9" s="27">
        <f>IF(INPUT!J12&gt;=150000,150000,INPUT!J12)</f>
        <v>0</v>
      </c>
      <c r="D9" s="16"/>
      <c r="E9" s="16"/>
      <c r="F9" s="10"/>
      <c r="G9" s="241" t="s">
        <v>56</v>
      </c>
      <c r="H9" s="242"/>
      <c r="I9" s="27">
        <v>0</v>
      </c>
    </row>
    <row r="10" spans="1:19" ht="21.9" customHeight="1" x14ac:dyDescent="0.3">
      <c r="A10" s="241" t="s">
        <v>73</v>
      </c>
      <c r="B10" s="242"/>
      <c r="C10" s="27">
        <f>INPUT!J21</f>
        <v>0</v>
      </c>
      <c r="D10" s="16"/>
      <c r="E10" s="16"/>
      <c r="F10" s="10"/>
      <c r="G10" s="241" t="s">
        <v>73</v>
      </c>
      <c r="H10" s="242"/>
      <c r="I10" s="27">
        <v>0</v>
      </c>
    </row>
    <row r="11" spans="1:19" ht="21.9" customHeight="1" x14ac:dyDescent="0.3">
      <c r="A11" s="241" t="s">
        <v>74</v>
      </c>
      <c r="B11" s="242"/>
      <c r="C11" s="27">
        <f>IF(INPUT!D24&gt;=200000,200000,INPUT!D24)</f>
        <v>0</v>
      </c>
      <c r="D11" s="16"/>
      <c r="E11" s="16"/>
      <c r="F11" s="10"/>
      <c r="G11" s="241" t="s">
        <v>74</v>
      </c>
      <c r="H11" s="242"/>
      <c r="I11" s="27">
        <v>0</v>
      </c>
      <c r="N11" s="250" t="s">
        <v>353</v>
      </c>
      <c r="O11" s="250"/>
      <c r="P11" s="250"/>
    </row>
    <row r="12" spans="1:19" ht="21.9" customHeight="1" x14ac:dyDescent="0.3">
      <c r="A12" s="241" t="s">
        <v>122</v>
      </c>
      <c r="B12" s="242"/>
      <c r="C12" s="27">
        <f>INPUT!J24</f>
        <v>0</v>
      </c>
      <c r="D12" s="16"/>
      <c r="E12" s="16"/>
      <c r="F12" s="10"/>
      <c r="G12" s="241" t="s">
        <v>122</v>
      </c>
      <c r="H12" s="242"/>
      <c r="I12" s="27">
        <f>C12</f>
        <v>0</v>
      </c>
      <c r="N12" s="130" t="s">
        <v>348</v>
      </c>
      <c r="O12" s="132" t="s">
        <v>349</v>
      </c>
      <c r="P12" s="132" t="s">
        <v>483</v>
      </c>
    </row>
    <row r="13" spans="1:19" ht="21.9" customHeight="1" x14ac:dyDescent="0.3">
      <c r="A13" s="241" t="s">
        <v>260</v>
      </c>
      <c r="B13" s="242"/>
      <c r="C13" s="92">
        <f>SUM(C6:C12)</f>
        <v>50000</v>
      </c>
      <c r="D13" s="16"/>
      <c r="E13" s="16"/>
      <c r="F13" s="10"/>
      <c r="G13" s="241" t="s">
        <v>260</v>
      </c>
      <c r="H13" s="242"/>
      <c r="I13" s="92">
        <f>SUM(I6:I12)</f>
        <v>75000</v>
      </c>
      <c r="N13" s="9" t="s">
        <v>354</v>
      </c>
      <c r="O13" s="133">
        <f>I14-O14-O15</f>
        <v>-75000</v>
      </c>
      <c r="P13" s="133">
        <f>IF(D22&lt;L17,D22,L17)-I25-I26</f>
        <v>0</v>
      </c>
      <c r="Q13" s="185"/>
      <c r="R13" s="70"/>
      <c r="S13" s="70"/>
    </row>
    <row r="14" spans="1:19" ht="21.9" customHeight="1" x14ac:dyDescent="0.3">
      <c r="A14" s="241" t="s">
        <v>351</v>
      </c>
      <c r="B14" s="242"/>
      <c r="C14" s="93">
        <f>C4+C5-C6-C7-C8-C9-C10-C11-C12</f>
        <v>-50000</v>
      </c>
      <c r="D14" s="17" t="s">
        <v>67</v>
      </c>
      <c r="E14" s="17" t="s">
        <v>66</v>
      </c>
      <c r="F14" s="10"/>
      <c r="G14" s="241" t="s">
        <v>484</v>
      </c>
      <c r="H14" s="242"/>
      <c r="I14" s="93">
        <f>I4+I5-I6-I7-I8-I9-I10-I11-I12</f>
        <v>-75000</v>
      </c>
      <c r="J14" s="17" t="s">
        <v>67</v>
      </c>
      <c r="K14" s="17" t="s">
        <v>66</v>
      </c>
      <c r="L14" s="25">
        <v>1200000</v>
      </c>
      <c r="N14" s="9" t="s">
        <v>346</v>
      </c>
      <c r="O14" s="133">
        <f>E22</f>
        <v>0</v>
      </c>
      <c r="P14" s="133">
        <f>O14*H22</f>
        <v>0</v>
      </c>
      <c r="Q14" s="185"/>
      <c r="R14" s="70"/>
      <c r="S14" s="70"/>
    </row>
    <row r="15" spans="1:19" ht="21.9" customHeight="1" x14ac:dyDescent="0.3">
      <c r="A15" s="9" t="s">
        <v>69</v>
      </c>
      <c r="B15" s="26">
        <v>0</v>
      </c>
      <c r="C15" s="27">
        <f t="shared" ref="C15:C18" si="0">E15*B15</f>
        <v>0</v>
      </c>
      <c r="D15" s="17">
        <f>INPUT!J34+INPUT!J35</f>
        <v>0</v>
      </c>
      <c r="E15" s="17">
        <v>250000</v>
      </c>
      <c r="F15" s="10"/>
      <c r="G15" s="9" t="s">
        <v>463</v>
      </c>
      <c r="H15" s="26">
        <v>0</v>
      </c>
      <c r="I15" s="27">
        <f t="shared" ref="I15:I21" si="1">K15*H15</f>
        <v>0</v>
      </c>
      <c r="J15">
        <f>INPUT!J34+INPUT!J35</f>
        <v>0</v>
      </c>
      <c r="K15" s="19">
        <v>400000</v>
      </c>
      <c r="L15" s="70" t="s">
        <v>472</v>
      </c>
      <c r="N15" s="9" t="s">
        <v>347</v>
      </c>
      <c r="O15" s="133">
        <f>E23</f>
        <v>0</v>
      </c>
      <c r="P15" s="133">
        <f>IF((O15-125000)&lt;=0,0,(O15-125000))*H23</f>
        <v>0</v>
      </c>
      <c r="Q15" s="185"/>
      <c r="R15" s="70"/>
      <c r="S15" s="70"/>
    </row>
    <row r="16" spans="1:19" ht="21.9" customHeight="1" x14ac:dyDescent="0.3">
      <c r="A16" s="9" t="s">
        <v>75</v>
      </c>
      <c r="B16" s="26">
        <v>0.05</v>
      </c>
      <c r="C16" s="27">
        <f t="shared" si="0"/>
        <v>0</v>
      </c>
      <c r="D16" s="17">
        <f>IF((C14-D15-E15)&lt;=0,0,C14-D15-E15)</f>
        <v>0</v>
      </c>
      <c r="E16" s="19">
        <f t="shared" ref="E16" si="2">IF(D16&gt;=250000,250000,D16)</f>
        <v>0</v>
      </c>
      <c r="F16" s="10"/>
      <c r="G16" s="9" t="s">
        <v>464</v>
      </c>
      <c r="H16" s="26">
        <v>0.05</v>
      </c>
      <c r="I16" s="27">
        <f t="shared" si="1"/>
        <v>0</v>
      </c>
      <c r="J16" s="197">
        <f>IF((I14-J15-K15)&lt;=0,0,I14-J15-K15)</f>
        <v>0</v>
      </c>
      <c r="K16" s="19">
        <f t="shared" ref="K16:K21" si="3">IF(J16&gt;=400000,400000,J16)</f>
        <v>0</v>
      </c>
      <c r="L16" s="70">
        <v>60000</v>
      </c>
      <c r="N16" s="204" t="s">
        <v>482</v>
      </c>
      <c r="O16" s="203"/>
      <c r="P16" s="131">
        <f>SUM(P13:P15)</f>
        <v>0</v>
      </c>
      <c r="Q16" s="70"/>
      <c r="R16" s="70"/>
      <c r="S16" s="70"/>
    </row>
    <row r="17" spans="1:16" ht="21.9" customHeight="1" x14ac:dyDescent="0.3">
      <c r="A17" s="9" t="s">
        <v>453</v>
      </c>
      <c r="B17" s="26">
        <v>0.2</v>
      </c>
      <c r="C17" s="27">
        <f t="shared" si="0"/>
        <v>0</v>
      </c>
      <c r="D17" s="15">
        <f>IF((C14-D15-E15-E16)&lt;=0,0,C14-D15-E15-E16)</f>
        <v>0</v>
      </c>
      <c r="E17" s="19">
        <f>IF(D17&gt;=500000,500000,D17)</f>
        <v>0</v>
      </c>
      <c r="F17" s="10"/>
      <c r="G17" s="9" t="s">
        <v>465</v>
      </c>
      <c r="H17" s="26">
        <v>0.1</v>
      </c>
      <c r="I17" s="27">
        <f t="shared" si="1"/>
        <v>0</v>
      </c>
      <c r="J17" s="15">
        <f>ROUNDDOWN(IF((I14-J15-K15-K16)&lt;=0,0,I14-J15-K15-K16),2)</f>
        <v>0</v>
      </c>
      <c r="K17" s="19">
        <f t="shared" si="3"/>
        <v>0</v>
      </c>
      <c r="L17" s="186">
        <f>SUM(I15:I21)</f>
        <v>0</v>
      </c>
    </row>
    <row r="18" spans="1:16" ht="21.9" customHeight="1" x14ac:dyDescent="0.3">
      <c r="A18" s="9" t="s">
        <v>454</v>
      </c>
      <c r="B18" s="26">
        <v>0.3</v>
      </c>
      <c r="C18" s="27">
        <f t="shared" si="0"/>
        <v>0</v>
      </c>
      <c r="D18" s="15">
        <f>IF((C14-D15-E15-E16-E17)&lt;=0,0,C14-D15-E15-E16-E17)</f>
        <v>0</v>
      </c>
      <c r="E18" s="19">
        <f>IF(D18&gt;=500000,500000,D18)</f>
        <v>0</v>
      </c>
      <c r="F18" s="10"/>
      <c r="G18" s="9" t="s">
        <v>466</v>
      </c>
      <c r="H18" s="26">
        <v>0.15</v>
      </c>
      <c r="I18" s="27">
        <f t="shared" si="1"/>
        <v>0</v>
      </c>
      <c r="J18" s="15">
        <f>IF((I14-J15-K15-K16-K17)&lt;=0,0,I14-J15-K15-K16-K17)</f>
        <v>0</v>
      </c>
      <c r="K18" s="19">
        <f t="shared" si="3"/>
        <v>0</v>
      </c>
      <c r="L18" s="206">
        <f>I14-O15-L14</f>
        <v>-1275000</v>
      </c>
    </row>
    <row r="19" spans="1:16" ht="21.9" customHeight="1" x14ac:dyDescent="0.3">
      <c r="A19" s="9"/>
      <c r="B19" s="26"/>
      <c r="C19" s="27"/>
      <c r="D19" s="15"/>
      <c r="E19" s="19"/>
      <c r="F19" s="10"/>
      <c r="G19" s="9" t="s">
        <v>467</v>
      </c>
      <c r="H19" s="26">
        <v>0.2</v>
      </c>
      <c r="I19" s="27">
        <f t="shared" si="1"/>
        <v>0</v>
      </c>
      <c r="J19" s="15">
        <f>IF((I14-J15-K15-K16-K17-K18)&lt;=0,0,I14-J15-K15-K16-K17-K18)</f>
        <v>0</v>
      </c>
      <c r="K19" s="19">
        <f t="shared" si="3"/>
        <v>0</v>
      </c>
      <c r="L19" s="206">
        <f>SUM(I15:I23)-L18</f>
        <v>1275000</v>
      </c>
    </row>
    <row r="20" spans="1:16" ht="21.9" customHeight="1" x14ac:dyDescent="0.3">
      <c r="A20" s="9"/>
      <c r="B20" s="26"/>
      <c r="C20" s="27"/>
      <c r="D20" s="15"/>
      <c r="E20" s="19"/>
      <c r="F20" s="10"/>
      <c r="G20" s="9" t="s">
        <v>468</v>
      </c>
      <c r="H20" s="26">
        <v>0.25</v>
      </c>
      <c r="I20" s="27">
        <f t="shared" si="1"/>
        <v>0</v>
      </c>
      <c r="J20" s="15">
        <f>IF((I14-J15-K15-K16-K17-K18-K19)&lt;=0,0,I14-J15-K15-K16-K17-K18-K19)</f>
        <v>0</v>
      </c>
      <c r="K20" s="19">
        <f t="shared" si="3"/>
        <v>0</v>
      </c>
      <c r="L20" t="s">
        <v>476</v>
      </c>
    </row>
    <row r="21" spans="1:16" ht="21.9" customHeight="1" x14ac:dyDescent="0.3">
      <c r="A21" s="9"/>
      <c r="B21" s="26"/>
      <c r="C21" s="27"/>
      <c r="D21" s="15"/>
      <c r="E21" s="19"/>
      <c r="F21" s="10"/>
      <c r="G21" s="9" t="s">
        <v>469</v>
      </c>
      <c r="H21" s="26">
        <v>0.3</v>
      </c>
      <c r="I21" s="27">
        <f t="shared" si="1"/>
        <v>0</v>
      </c>
      <c r="J21" s="15">
        <f>IF((I14-J15-K15-K16-K17-K18-K19-K20)&lt;=0,0,I14-J15-K15-K16-K17-K18-K19-K20)</f>
        <v>0</v>
      </c>
      <c r="K21" s="19">
        <f t="shared" si="3"/>
        <v>0</v>
      </c>
    </row>
    <row r="22" spans="1:16" ht="21.9" customHeight="1" x14ac:dyDescent="0.3">
      <c r="A22" s="129" t="s">
        <v>342</v>
      </c>
      <c r="B22" s="26">
        <v>0.2</v>
      </c>
      <c r="C22" s="27">
        <f>E22*B22</f>
        <v>0</v>
      </c>
      <c r="D22" s="15">
        <f>SUM(C15:C22)</f>
        <v>0</v>
      </c>
      <c r="E22" s="19">
        <f>INPUT!J34</f>
        <v>0</v>
      </c>
      <c r="F22" s="10"/>
      <c r="G22" s="129" t="s">
        <v>342</v>
      </c>
      <c r="H22" s="26">
        <v>0.2</v>
      </c>
      <c r="I22" s="27">
        <f>C22</f>
        <v>0</v>
      </c>
      <c r="J22" s="15">
        <f>IF((I14-K15-K16-K17-K18-K19-K21)&lt;=0,0,I14-K15-K16-K17-K18-K19-K21)</f>
        <v>0</v>
      </c>
      <c r="K22" s="19">
        <f>IF(J22&gt;=250000,250000,J22)-INPUT!J35</f>
        <v>0</v>
      </c>
      <c r="M22" s="185">
        <f>IF(I24&lt;=C24,I14,C14)</f>
        <v>-75000</v>
      </c>
    </row>
    <row r="23" spans="1:16" ht="21.9" customHeight="1" x14ac:dyDescent="0.3">
      <c r="A23" s="129" t="s">
        <v>344</v>
      </c>
      <c r="B23" s="200">
        <v>0.125</v>
      </c>
      <c r="C23" s="27">
        <f>D23*B23</f>
        <v>0</v>
      </c>
      <c r="D23" s="15">
        <f>IF(E23&gt;125000,E23-125000,0)</f>
        <v>0</v>
      </c>
      <c r="E23" s="19">
        <f>INPUT!J35</f>
        <v>0</v>
      </c>
      <c r="F23" s="10"/>
      <c r="G23" s="129" t="s">
        <v>456</v>
      </c>
      <c r="H23" s="200">
        <v>0.125</v>
      </c>
      <c r="I23" s="27">
        <f>C23</f>
        <v>0</v>
      </c>
      <c r="J23" s="14"/>
      <c r="K23" s="19">
        <f>INPUT!J35</f>
        <v>0</v>
      </c>
      <c r="M23" s="185" t="s">
        <v>452</v>
      </c>
      <c r="N23" s="198"/>
      <c r="O23" s="198"/>
    </row>
    <row r="24" spans="1:16" ht="21.9" customHeight="1" x14ac:dyDescent="0.3">
      <c r="A24" s="241" t="s">
        <v>475</v>
      </c>
      <c r="B24" s="242"/>
      <c r="C24" s="93">
        <f>SUM(C15:C23)</f>
        <v>0</v>
      </c>
      <c r="D24" s="10"/>
      <c r="E24" s="10"/>
      <c r="F24" s="10"/>
      <c r="G24" s="241" t="s">
        <v>475</v>
      </c>
      <c r="H24" s="242"/>
      <c r="I24" s="93">
        <f>SUM(I15:I23)</f>
        <v>0</v>
      </c>
      <c r="M24" s="185">
        <f>IF(I24&lt;=C24,I24,C24)</f>
        <v>0</v>
      </c>
      <c r="N24" s="198"/>
      <c r="O24" s="198"/>
    </row>
    <row r="25" spans="1:16" ht="21.9" customHeight="1" x14ac:dyDescent="0.3">
      <c r="A25" s="241" t="s">
        <v>352</v>
      </c>
      <c r="B25" s="242"/>
      <c r="C25" s="93">
        <f>IF(C14&gt;500000,0,IF((C16+C22)&gt;=12500,12500,(C16+C22)))</f>
        <v>0</v>
      </c>
      <c r="D25" s="10"/>
      <c r="E25" s="10"/>
      <c r="F25" s="10"/>
      <c r="G25" s="241" t="s">
        <v>470</v>
      </c>
      <c r="H25" s="242"/>
      <c r="I25" s="93">
        <f>IF((I14-O15)&gt;1200000,0,IF(L17&lt;=L16,L17,0))</f>
        <v>0</v>
      </c>
      <c r="J25" s="10"/>
      <c r="M25" s="185">
        <f>IF(I29&lt;=C29,I25,C25)</f>
        <v>0</v>
      </c>
      <c r="N25" s="198"/>
      <c r="O25" s="198"/>
    </row>
    <row r="26" spans="1:16" ht="21.9" customHeight="1" x14ac:dyDescent="0.3">
      <c r="A26" s="241" t="s">
        <v>471</v>
      </c>
      <c r="B26" s="242"/>
      <c r="C26" s="93">
        <v>0</v>
      </c>
      <c r="G26" s="241" t="s">
        <v>473</v>
      </c>
      <c r="H26" s="242"/>
      <c r="I26" s="27">
        <f>IF(L19&lt;=0,0,IF((I14-O15)&lt;=L14,0,ROUND(I24-I23-(I14-O15-L14),0)))</f>
        <v>0</v>
      </c>
      <c r="J26" s="10"/>
      <c r="M26" s="185">
        <f>IF(I29&lt;=C29,I26,C26)</f>
        <v>0</v>
      </c>
      <c r="N26" s="31"/>
      <c r="O26" s="31"/>
      <c r="P26" s="31"/>
    </row>
    <row r="27" spans="1:16" ht="21.9" customHeight="1" x14ac:dyDescent="0.3">
      <c r="A27" s="201" t="s">
        <v>474</v>
      </c>
      <c r="B27" s="202"/>
      <c r="C27" s="27">
        <f>C24-C25-C26</f>
        <v>0</v>
      </c>
      <c r="G27" s="201" t="s">
        <v>474</v>
      </c>
      <c r="H27" s="202"/>
      <c r="I27" s="27">
        <f>I24-I25-I26</f>
        <v>0</v>
      </c>
      <c r="J27" s="10"/>
      <c r="M27" s="205"/>
      <c r="N27" s="31"/>
      <c r="O27" s="31"/>
      <c r="P27" s="31"/>
    </row>
    <row r="28" spans="1:16" ht="21.9" customHeight="1" x14ac:dyDescent="0.3">
      <c r="A28" s="241" t="s">
        <v>267</v>
      </c>
      <c r="B28" s="242"/>
      <c r="C28" s="93">
        <f>IF(C27&gt;0,ROUND(C27*0.04,0),0)</f>
        <v>0</v>
      </c>
      <c r="G28" s="241" t="s">
        <v>267</v>
      </c>
      <c r="H28" s="242"/>
      <c r="I28" s="93">
        <f>IF(I27&gt;0,ROUND(I27*0.04,0),0)</f>
        <v>0</v>
      </c>
      <c r="J28" s="10"/>
      <c r="M28" s="185">
        <f>IF(I31&lt;=C31,I28,C28)</f>
        <v>0</v>
      </c>
      <c r="N28" s="31"/>
      <c r="O28" s="31"/>
      <c r="P28" s="31"/>
    </row>
    <row r="29" spans="1:16" ht="21.9" customHeight="1" x14ac:dyDescent="0.3">
      <c r="A29" s="239" t="s">
        <v>256</v>
      </c>
      <c r="B29" s="240"/>
      <c r="C29" s="94">
        <f>ROUND(C24-C25+C28,0)</f>
        <v>0</v>
      </c>
      <c r="G29" s="239" t="s">
        <v>256</v>
      </c>
      <c r="H29" s="240"/>
      <c r="I29" s="94">
        <f>ROUND(I27+I28,0)</f>
        <v>0</v>
      </c>
      <c r="M29" s="205"/>
      <c r="N29" s="31"/>
      <c r="O29" s="31"/>
      <c r="P29" s="31"/>
    </row>
    <row r="30" spans="1:16" ht="21.9" customHeight="1" x14ac:dyDescent="0.3">
      <c r="A30" s="238" t="s">
        <v>278</v>
      </c>
      <c r="B30" s="238"/>
      <c r="C30" s="238"/>
      <c r="D30" s="208"/>
      <c r="E30" s="208"/>
      <c r="F30" s="208"/>
      <c r="G30" s="238" t="s">
        <v>486</v>
      </c>
      <c r="H30" s="238"/>
      <c r="I30" s="238"/>
      <c r="M30" s="205"/>
      <c r="N30" s="31"/>
      <c r="O30" s="31"/>
      <c r="P30" s="31"/>
    </row>
    <row r="31" spans="1:16" ht="21.9" customHeight="1" x14ac:dyDescent="0.3">
      <c r="A31" s="247" t="str">
        <f>IF(C4=0,"",IF(C29&lt;=I29,"OLD REGIME IS SUGGESTED FOR YOU","NEW REGIME IS SUGGESTED FOR YOU"))</f>
        <v/>
      </c>
      <c r="B31" s="248"/>
      <c r="C31" s="248"/>
      <c r="D31" s="248"/>
      <c r="E31" s="248"/>
      <c r="F31" s="248"/>
      <c r="G31" s="248"/>
      <c r="H31" s="248"/>
      <c r="I31" s="249"/>
      <c r="M31" s="31"/>
      <c r="N31" s="31"/>
      <c r="O31" s="31"/>
      <c r="P31" s="31"/>
    </row>
    <row r="32" spans="1:16" ht="21.9" customHeight="1" x14ac:dyDescent="0.3">
      <c r="A32" s="245" t="s">
        <v>450</v>
      </c>
      <c r="B32" s="246"/>
      <c r="C32" s="183">
        <f>INPUT!G79</f>
        <v>0</v>
      </c>
      <c r="D32" s="187"/>
      <c r="E32" s="187"/>
      <c r="F32" s="194" t="str">
        <f>IF(C29=I29,"",IF(C29&gt;I29,"N",A3))</f>
        <v/>
      </c>
      <c r="G32" s="245" t="s">
        <v>451</v>
      </c>
      <c r="H32" s="246"/>
      <c r="I32" s="184">
        <f>ROUND(M29-C32,-1)</f>
        <v>0</v>
      </c>
      <c r="M32" s="31"/>
      <c r="N32" s="31"/>
      <c r="O32" s="31"/>
      <c r="P32" s="31"/>
    </row>
    <row r="33" spans="1:16" ht="10.8" customHeight="1" x14ac:dyDescent="0.3">
      <c r="D33" s="188"/>
      <c r="E33" s="188"/>
      <c r="F33" s="189"/>
      <c r="M33" s="31"/>
      <c r="N33" s="31"/>
      <c r="O33" s="31"/>
      <c r="P33" s="31"/>
    </row>
    <row r="34" spans="1:16" x14ac:dyDescent="0.3">
      <c r="A34" s="251" t="str">
        <f>IF(A35="","","N.B.: CAPITAL GAIN CALCULATION IS VALID ONLY IF GROSS SALARY IS &gt;= 2,50,000")</f>
        <v/>
      </c>
      <c r="B34" s="251"/>
      <c r="C34" s="251"/>
      <c r="D34" s="251"/>
      <c r="E34" s="251"/>
      <c r="F34" s="251"/>
      <c r="G34" s="251"/>
      <c r="H34" s="251"/>
      <c r="I34" s="251"/>
      <c r="M34" s="31"/>
      <c r="N34" s="31"/>
      <c r="O34" s="31"/>
      <c r="P34" s="31"/>
    </row>
    <row r="35" spans="1:16" hidden="1" x14ac:dyDescent="0.3">
      <c r="A35" s="252" t="str">
        <f>IF(C4=0,"",IF(C4&lt;250000,"SORRY CAPITAL GAIN CALCULATION IS NOT VALID",""))</f>
        <v/>
      </c>
      <c r="B35" s="252"/>
      <c r="C35" s="252"/>
      <c r="D35" s="252"/>
      <c r="E35" s="252"/>
      <c r="F35" s="252"/>
      <c r="G35" s="252"/>
      <c r="H35" s="252"/>
      <c r="I35" s="252"/>
    </row>
    <row r="43" spans="1:16" x14ac:dyDescent="0.3"/>
    <row r="44" spans="1:16" x14ac:dyDescent="0.3"/>
  </sheetData>
  <sheetProtection algorithmName="SHA-512" hashValue="I+apGjuBh6WcsKpsKaSUlHGnXJxclNOMcglC8zrhJICOKeLn+B1xIWA/F2cMxHqrt78AVNlRDUcu2jDzPak7VA==" saltValue="UA7qrLWDdkXpOc/1zIlX3w==" spinCount="100000" sheet="1" objects="1" scenarios="1"/>
  <mergeCells count="43">
    <mergeCell ref="G32:H32"/>
    <mergeCell ref="A31:I31"/>
    <mergeCell ref="N11:P11"/>
    <mergeCell ref="A34:I34"/>
    <mergeCell ref="A35:I35"/>
    <mergeCell ref="G24:H24"/>
    <mergeCell ref="G25:H25"/>
    <mergeCell ref="G28:H28"/>
    <mergeCell ref="A24:B24"/>
    <mergeCell ref="A25:B25"/>
    <mergeCell ref="A28:B28"/>
    <mergeCell ref="A32:B32"/>
    <mergeCell ref="G26:H26"/>
    <mergeCell ref="A26:B26"/>
    <mergeCell ref="G10:H10"/>
    <mergeCell ref="G11:H11"/>
    <mergeCell ref="G14:H14"/>
    <mergeCell ref="A3:C3"/>
    <mergeCell ref="G3:I3"/>
    <mergeCell ref="A4:B4"/>
    <mergeCell ref="A6:B6"/>
    <mergeCell ref="A7:B7"/>
    <mergeCell ref="G4:H4"/>
    <mergeCell ref="G6:H6"/>
    <mergeCell ref="G7:H7"/>
    <mergeCell ref="A13:B13"/>
    <mergeCell ref="G13:H13"/>
    <mergeCell ref="A1:I1"/>
    <mergeCell ref="A30:C30"/>
    <mergeCell ref="G30:I30"/>
    <mergeCell ref="A29:B29"/>
    <mergeCell ref="G29:H29"/>
    <mergeCell ref="A5:B5"/>
    <mergeCell ref="G5:H5"/>
    <mergeCell ref="A12:B12"/>
    <mergeCell ref="G12:H12"/>
    <mergeCell ref="A8:B8"/>
    <mergeCell ref="A9:B9"/>
    <mergeCell ref="A10:B10"/>
    <mergeCell ref="A11:B11"/>
    <mergeCell ref="A14:B14"/>
    <mergeCell ref="G8:H8"/>
    <mergeCell ref="G9:H9"/>
  </mergeCells>
  <conditionalFormatting sqref="A35:I35">
    <cfRule type="notContainsBlanks" dxfId="3" priority="2">
      <formula>LEN(TRIM(A35))&gt;0</formula>
    </cfRule>
  </conditionalFormatting>
  <printOptions horizontalCentered="1"/>
  <pageMargins left="0.33" right="0.2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4823B-CDF8-43DC-9969-5E355242B64F}">
  <sheetPr>
    <pageSetUpPr fitToPage="1"/>
  </sheetPr>
  <dimension ref="A1:F54"/>
  <sheetViews>
    <sheetView topLeftCell="A28" workbookViewId="0">
      <selection activeCell="A54" sqref="A54"/>
    </sheetView>
  </sheetViews>
  <sheetFormatPr defaultColWidth="0" defaultRowHeight="14.4" zeroHeight="1" x14ac:dyDescent="0.3"/>
  <cols>
    <col min="1" max="1" width="21.5546875" customWidth="1"/>
    <col min="2" max="2" width="25" customWidth="1"/>
    <col min="3" max="3" width="13.21875" customWidth="1"/>
    <col min="4" max="4" width="16.21875" customWidth="1"/>
    <col min="5" max="5" width="17.109375" customWidth="1"/>
    <col min="6" max="6" width="8.88671875" customWidth="1"/>
    <col min="7" max="16384" width="8.88671875" hidden="1"/>
  </cols>
  <sheetData>
    <row r="1" spans="1:5" x14ac:dyDescent="0.3">
      <c r="A1" s="262" t="s">
        <v>304</v>
      </c>
      <c r="B1" s="262"/>
      <c r="C1" s="262"/>
      <c r="D1" s="262"/>
      <c r="E1" s="262"/>
    </row>
    <row r="2" spans="1:5" x14ac:dyDescent="0.3">
      <c r="A2" s="264" t="str">
        <f>STATEMENT!A3&amp;" "&amp;STATEMENT!D3</f>
        <v xml:space="preserve">Employee Name:  </v>
      </c>
      <c r="B2" s="265"/>
      <c r="C2" s="114" t="s">
        <v>149</v>
      </c>
      <c r="D2" s="96" t="s">
        <v>149</v>
      </c>
      <c r="E2" s="96" t="s">
        <v>149</v>
      </c>
    </row>
    <row r="3" spans="1:5" x14ac:dyDescent="0.3">
      <c r="A3" s="256" t="s">
        <v>150</v>
      </c>
      <c r="B3" s="256"/>
      <c r="C3" s="97"/>
      <c r="D3" s="97"/>
      <c r="E3" s="97"/>
    </row>
    <row r="4" spans="1:5" x14ac:dyDescent="0.3">
      <c r="A4" s="263" t="s">
        <v>335</v>
      </c>
      <c r="B4" s="263"/>
      <c r="C4" s="98">
        <f>STATEMENT!G22</f>
        <v>0</v>
      </c>
      <c r="D4" s="99"/>
      <c r="E4" s="99"/>
    </row>
    <row r="5" spans="1:5" x14ac:dyDescent="0.3">
      <c r="A5" s="254" t="s">
        <v>302</v>
      </c>
      <c r="B5" s="254"/>
      <c r="C5" s="116"/>
      <c r="D5" s="99"/>
      <c r="E5" s="99"/>
    </row>
    <row r="6" spans="1:5" x14ac:dyDescent="0.3">
      <c r="A6" s="254" t="s">
        <v>326</v>
      </c>
      <c r="B6" s="254"/>
      <c r="C6" s="116"/>
      <c r="D6" s="99"/>
      <c r="E6" s="99"/>
    </row>
    <row r="7" spans="1:5" x14ac:dyDescent="0.3">
      <c r="A7" s="254" t="s">
        <v>301</v>
      </c>
      <c r="B7" s="254"/>
      <c r="C7" s="99"/>
      <c r="D7" s="98">
        <f>SUM(C4:C6)</f>
        <v>0</v>
      </c>
      <c r="E7" s="99"/>
    </row>
    <row r="8" spans="1:5" x14ac:dyDescent="0.3">
      <c r="A8" s="259" t="s">
        <v>305</v>
      </c>
      <c r="B8" s="259"/>
      <c r="C8" s="99"/>
      <c r="D8" s="98">
        <v>50000</v>
      </c>
      <c r="E8" s="99"/>
    </row>
    <row r="9" spans="1:5" x14ac:dyDescent="0.3">
      <c r="A9" s="100" t="s">
        <v>303</v>
      </c>
      <c r="B9" s="100"/>
      <c r="C9" s="99"/>
      <c r="D9" s="100">
        <f>TAX!C6</f>
        <v>0</v>
      </c>
      <c r="E9" s="97"/>
    </row>
    <row r="10" spans="1:5" x14ac:dyDescent="0.3">
      <c r="A10" s="100" t="s">
        <v>306</v>
      </c>
      <c r="B10" s="100"/>
      <c r="C10" s="99"/>
      <c r="D10" s="101">
        <f>TAX!C7</f>
        <v>0</v>
      </c>
      <c r="E10" s="97"/>
    </row>
    <row r="11" spans="1:5" x14ac:dyDescent="0.3">
      <c r="A11" s="100" t="s">
        <v>307</v>
      </c>
      <c r="B11" s="100"/>
      <c r="C11" s="97"/>
      <c r="D11" s="97"/>
      <c r="E11" s="98">
        <f>D7-D8-D9-D10</f>
        <v>-50000</v>
      </c>
    </row>
    <row r="12" spans="1:5" x14ac:dyDescent="0.3">
      <c r="A12" s="100" t="s">
        <v>308</v>
      </c>
      <c r="B12" s="100"/>
      <c r="C12" s="97"/>
      <c r="D12" s="98">
        <f>TAX!C11</f>
        <v>0</v>
      </c>
      <c r="E12" s="97"/>
    </row>
    <row r="13" spans="1:5" x14ac:dyDescent="0.3">
      <c r="A13" s="100" t="s">
        <v>164</v>
      </c>
      <c r="B13" s="100"/>
      <c r="C13" s="97"/>
      <c r="D13" s="98">
        <f>TAX!C5</f>
        <v>0</v>
      </c>
      <c r="E13" s="97"/>
    </row>
    <row r="14" spans="1:5" x14ac:dyDescent="0.3">
      <c r="A14" s="100" t="s">
        <v>309</v>
      </c>
      <c r="B14" s="100"/>
      <c r="C14" s="97"/>
      <c r="D14" s="97"/>
      <c r="E14" s="98">
        <f>E11+D13-D12</f>
        <v>-50000</v>
      </c>
    </row>
    <row r="15" spans="1:5" x14ac:dyDescent="0.3">
      <c r="A15" s="100" t="s">
        <v>169</v>
      </c>
      <c r="B15" s="100"/>
      <c r="C15" s="100"/>
      <c r="D15" s="100"/>
      <c r="E15" s="100"/>
    </row>
    <row r="16" spans="1:5" x14ac:dyDescent="0.3">
      <c r="A16" s="100" t="s">
        <v>313</v>
      </c>
      <c r="B16" s="100"/>
      <c r="C16" s="117" t="s">
        <v>288</v>
      </c>
      <c r="D16" s="117" t="s">
        <v>172</v>
      </c>
      <c r="E16" s="117" t="s">
        <v>173</v>
      </c>
    </row>
    <row r="17" spans="1:5" x14ac:dyDescent="0.3">
      <c r="A17" s="102" t="s">
        <v>314</v>
      </c>
      <c r="B17" s="100" t="s">
        <v>175</v>
      </c>
      <c r="C17" s="98">
        <f>INPUT!J2</f>
        <v>0</v>
      </c>
      <c r="D17" s="103"/>
      <c r="E17" s="97"/>
    </row>
    <row r="18" spans="1:5" x14ac:dyDescent="0.3">
      <c r="A18" s="102" t="s">
        <v>315</v>
      </c>
      <c r="B18" s="104" t="s">
        <v>289</v>
      </c>
      <c r="C18" s="98">
        <f>INPUT!J3</f>
        <v>0</v>
      </c>
      <c r="D18" s="103"/>
      <c r="E18" s="97"/>
    </row>
    <row r="19" spans="1:5" x14ac:dyDescent="0.3">
      <c r="A19" s="102" t="s">
        <v>316</v>
      </c>
      <c r="B19" s="104" t="s">
        <v>180</v>
      </c>
      <c r="C19" s="98">
        <f>INPUT!J4</f>
        <v>0</v>
      </c>
      <c r="D19" s="103"/>
      <c r="E19" s="97"/>
    </row>
    <row r="20" spans="1:5" x14ac:dyDescent="0.3">
      <c r="A20" s="102" t="s">
        <v>317</v>
      </c>
      <c r="B20" s="104" t="s">
        <v>290</v>
      </c>
      <c r="C20" s="98">
        <f>INPUT!J5</f>
        <v>0</v>
      </c>
      <c r="D20" s="103"/>
      <c r="E20" s="97"/>
    </row>
    <row r="21" spans="1:5" x14ac:dyDescent="0.3">
      <c r="A21" s="102" t="s">
        <v>318</v>
      </c>
      <c r="B21" s="104" t="s">
        <v>291</v>
      </c>
      <c r="C21" s="98">
        <f>INPUT!J6</f>
        <v>0</v>
      </c>
      <c r="D21" s="103"/>
      <c r="E21" s="97"/>
    </row>
    <row r="22" spans="1:5" x14ac:dyDescent="0.3">
      <c r="A22" s="102" t="s">
        <v>319</v>
      </c>
      <c r="B22" s="104" t="s">
        <v>292</v>
      </c>
      <c r="C22" s="98">
        <f>INPUT!J7</f>
        <v>0</v>
      </c>
      <c r="D22" s="103"/>
      <c r="E22" s="97"/>
    </row>
    <row r="23" spans="1:5" x14ac:dyDescent="0.3">
      <c r="A23" s="102" t="s">
        <v>320</v>
      </c>
      <c r="B23" s="104" t="s">
        <v>222</v>
      </c>
      <c r="C23" s="98">
        <f>INPUT!J8</f>
        <v>0</v>
      </c>
      <c r="D23" s="103"/>
      <c r="E23" s="97"/>
    </row>
    <row r="24" spans="1:5" x14ac:dyDescent="0.3">
      <c r="A24" s="102" t="s">
        <v>321</v>
      </c>
      <c r="B24" s="104" t="s">
        <v>293</v>
      </c>
      <c r="C24" s="98">
        <f>INPUT!J9</f>
        <v>0</v>
      </c>
      <c r="D24" s="103"/>
      <c r="E24" s="97"/>
    </row>
    <row r="25" spans="1:5" x14ac:dyDescent="0.3">
      <c r="A25" s="102" t="s">
        <v>322</v>
      </c>
      <c r="B25" s="104" t="s">
        <v>294</v>
      </c>
      <c r="C25" s="98">
        <f>INPUT!J10</f>
        <v>0</v>
      </c>
      <c r="D25" s="103"/>
      <c r="E25" s="97"/>
    </row>
    <row r="26" spans="1:5" x14ac:dyDescent="0.3">
      <c r="A26" s="102" t="s">
        <v>323</v>
      </c>
      <c r="B26" s="104" t="s">
        <v>295</v>
      </c>
      <c r="C26" s="98">
        <f>INPUT!J11</f>
        <v>0</v>
      </c>
      <c r="D26" s="101">
        <f>SUM(C17:C26)</f>
        <v>0</v>
      </c>
      <c r="E26" s="105"/>
    </row>
    <row r="27" spans="1:5" x14ac:dyDescent="0.3">
      <c r="A27" s="100" t="s">
        <v>324</v>
      </c>
      <c r="B27" s="104"/>
      <c r="C27" s="97"/>
      <c r="D27" s="109"/>
      <c r="E27" s="105"/>
    </row>
    <row r="28" spans="1:5" x14ac:dyDescent="0.3">
      <c r="A28" s="100" t="s">
        <v>325</v>
      </c>
      <c r="B28" s="104"/>
      <c r="C28" s="97"/>
      <c r="D28" s="109"/>
      <c r="E28" s="101">
        <f>TAX!C9</f>
        <v>0</v>
      </c>
    </row>
    <row r="29" spans="1:5" x14ac:dyDescent="0.3">
      <c r="A29" s="255" t="s">
        <v>327</v>
      </c>
      <c r="B29" s="255"/>
      <c r="C29" s="255"/>
      <c r="D29" s="255"/>
      <c r="E29" s="255"/>
    </row>
    <row r="30" spans="1:5" x14ac:dyDescent="0.3">
      <c r="A30" s="256" t="s">
        <v>328</v>
      </c>
      <c r="B30" s="257"/>
      <c r="C30" s="106" t="s">
        <v>172</v>
      </c>
      <c r="D30" s="106" t="s">
        <v>190</v>
      </c>
      <c r="E30" s="106" t="s">
        <v>173</v>
      </c>
    </row>
    <row r="31" spans="1:5" x14ac:dyDescent="0.3">
      <c r="A31" s="100" t="s">
        <v>329</v>
      </c>
      <c r="B31" s="113" t="s">
        <v>300</v>
      </c>
      <c r="C31" s="112">
        <f>INPUT!J15</f>
        <v>0</v>
      </c>
      <c r="D31" s="107">
        <f>IF(C31&gt;=50000,50000,C31)</f>
        <v>0</v>
      </c>
      <c r="E31" s="97"/>
    </row>
    <row r="32" spans="1:5" x14ac:dyDescent="0.3">
      <c r="A32" s="100" t="s">
        <v>330</v>
      </c>
      <c r="B32" s="113" t="s">
        <v>296</v>
      </c>
      <c r="C32" s="112">
        <f>INPUT!J16</f>
        <v>0</v>
      </c>
      <c r="D32" s="107">
        <f>C32</f>
        <v>0</v>
      </c>
      <c r="E32" s="97"/>
    </row>
    <row r="33" spans="1:5" x14ac:dyDescent="0.3">
      <c r="A33" s="100" t="s">
        <v>331</v>
      </c>
      <c r="B33" s="113" t="s">
        <v>297</v>
      </c>
      <c r="C33" s="112">
        <f>INPUT!J17</f>
        <v>0</v>
      </c>
      <c r="D33" s="107">
        <f>IF(C33&gt;=10000,10000,C33)</f>
        <v>0</v>
      </c>
      <c r="E33" s="97"/>
    </row>
    <row r="34" spans="1:5" x14ac:dyDescent="0.3">
      <c r="A34" s="100" t="s">
        <v>332</v>
      </c>
      <c r="B34" s="113" t="s">
        <v>298</v>
      </c>
      <c r="C34" s="112">
        <f>INPUT!J18</f>
        <v>0</v>
      </c>
      <c r="D34" s="107">
        <f>C34</f>
        <v>0</v>
      </c>
      <c r="E34" s="97"/>
    </row>
    <row r="35" spans="1:5" x14ac:dyDescent="0.3">
      <c r="A35" s="100" t="s">
        <v>333</v>
      </c>
      <c r="B35" s="113" t="s">
        <v>299</v>
      </c>
      <c r="C35" s="112">
        <f>INPUT!J19</f>
        <v>0</v>
      </c>
      <c r="D35" s="107">
        <f>C35</f>
        <v>0</v>
      </c>
      <c r="E35" s="97"/>
    </row>
    <row r="36" spans="1:5" x14ac:dyDescent="0.3">
      <c r="A36" s="100" t="s">
        <v>334</v>
      </c>
      <c r="B36" s="113" t="s">
        <v>310</v>
      </c>
      <c r="C36" s="112">
        <f>INPUT!J20</f>
        <v>0</v>
      </c>
      <c r="D36" s="107">
        <f>C36</f>
        <v>0</v>
      </c>
      <c r="E36" s="101">
        <f>SUM(D31:D36)</f>
        <v>0</v>
      </c>
    </row>
    <row r="37" spans="1:5" x14ac:dyDescent="0.3">
      <c r="A37" s="100" t="s">
        <v>196</v>
      </c>
      <c r="B37" s="100"/>
      <c r="C37" s="97"/>
      <c r="D37" s="97"/>
      <c r="E37" s="101">
        <f>E28+E36</f>
        <v>0</v>
      </c>
    </row>
    <row r="38" spans="1:5" x14ac:dyDescent="0.3">
      <c r="A38" s="100" t="s">
        <v>197</v>
      </c>
      <c r="B38" s="100"/>
      <c r="C38" s="97"/>
      <c r="D38" s="97"/>
      <c r="E38" s="101">
        <f>E14-E37</f>
        <v>-50000</v>
      </c>
    </row>
    <row r="39" spans="1:5" x14ac:dyDescent="0.3">
      <c r="A39" s="100" t="s">
        <v>198</v>
      </c>
      <c r="B39" s="100"/>
      <c r="C39" s="97"/>
      <c r="D39" s="97"/>
      <c r="E39" s="101">
        <f>IF(TAX!C29&lt;=TAX!I29,TAX!C24,TAX!I24)</f>
        <v>0</v>
      </c>
    </row>
    <row r="40" spans="1:5" x14ac:dyDescent="0.3">
      <c r="A40" s="100" t="s">
        <v>355</v>
      </c>
      <c r="B40" s="100" t="s">
        <v>356</v>
      </c>
      <c r="C40" s="97"/>
      <c r="D40" s="97"/>
      <c r="E40" s="101">
        <f>IF(E39&lt;=12500,E39,0)</f>
        <v>0</v>
      </c>
    </row>
    <row r="41" spans="1:5" x14ac:dyDescent="0.3">
      <c r="A41" s="100" t="s">
        <v>357</v>
      </c>
      <c r="B41" s="100"/>
      <c r="C41" s="97"/>
      <c r="D41" s="97"/>
      <c r="E41" s="101">
        <f>E39-E40</f>
        <v>0</v>
      </c>
    </row>
    <row r="42" spans="1:5" x14ac:dyDescent="0.3">
      <c r="A42" s="100" t="s">
        <v>360</v>
      </c>
      <c r="B42" s="100"/>
      <c r="C42" s="97"/>
      <c r="D42" s="97"/>
      <c r="E42" s="101">
        <f>ROUND(E41*0.04,0)</f>
        <v>0</v>
      </c>
    </row>
    <row r="43" spans="1:5" x14ac:dyDescent="0.3">
      <c r="A43" s="100" t="s">
        <v>359</v>
      </c>
      <c r="B43" s="100"/>
      <c r="C43" s="97"/>
      <c r="D43" s="97"/>
      <c r="E43" s="101">
        <f>E41+E42</f>
        <v>0</v>
      </c>
    </row>
    <row r="44" spans="1:5" x14ac:dyDescent="0.3">
      <c r="A44" s="100" t="s">
        <v>358</v>
      </c>
      <c r="B44" s="100"/>
      <c r="C44" s="97"/>
      <c r="D44" s="97"/>
      <c r="E44" s="106">
        <f>TAX!C12</f>
        <v>0</v>
      </c>
    </row>
    <row r="45" spans="1:5" x14ac:dyDescent="0.3">
      <c r="A45" s="100" t="s">
        <v>361</v>
      </c>
      <c r="B45" s="100"/>
      <c r="C45" s="97"/>
      <c r="D45" s="97"/>
      <c r="E45" s="134">
        <f>E43-E44</f>
        <v>0</v>
      </c>
    </row>
    <row r="46" spans="1:5" x14ac:dyDescent="0.3">
      <c r="A46" s="100"/>
      <c r="B46" s="100"/>
      <c r="C46" s="100"/>
      <c r="D46" s="100"/>
      <c r="E46" s="115"/>
    </row>
    <row r="47" spans="1:5" x14ac:dyDescent="0.3">
      <c r="A47" s="258" t="s">
        <v>203</v>
      </c>
      <c r="B47" s="258"/>
      <c r="C47" s="258"/>
      <c r="D47" s="258"/>
      <c r="E47" s="258"/>
    </row>
    <row r="48" spans="1:5" ht="42" customHeight="1" x14ac:dyDescent="0.3">
      <c r="A48" s="260" t="str">
        <f>"I, "&amp;D52&amp;" Son/Daughter of …............................................... Working in the capacity of …."&amp;D53&amp;"..... do hereby that the information given above is true, complete and correct and is based on the books of account, documents, TDS statements and other avaiable records."</f>
        <v>I,  Son/Daughter of …............................................... Working in the capacity of …...... do hereby that the information given above is true, complete and correct and is based on the books of account, documents, TDS statements and other avaiable records.</v>
      </c>
      <c r="B48" s="260"/>
      <c r="C48" s="260"/>
      <c r="D48" s="260"/>
      <c r="E48" s="260"/>
    </row>
    <row r="49" spans="1:5" x14ac:dyDescent="0.3">
      <c r="A49" s="108" t="s">
        <v>311</v>
      </c>
      <c r="B49" s="111"/>
      <c r="C49" s="255"/>
      <c r="D49" s="255"/>
      <c r="E49" s="255"/>
    </row>
    <row r="50" spans="1:5" x14ac:dyDescent="0.3">
      <c r="A50" s="108" t="s">
        <v>312</v>
      </c>
      <c r="B50" s="118">
        <f ca="1">TODAY()</f>
        <v>46214</v>
      </c>
      <c r="C50" s="255"/>
      <c r="D50" s="255"/>
      <c r="E50" s="255"/>
    </row>
    <row r="51" spans="1:5" x14ac:dyDescent="0.3">
      <c r="A51" s="100"/>
      <c r="B51" s="100"/>
      <c r="C51" s="255" t="s">
        <v>208</v>
      </c>
      <c r="D51" s="255"/>
      <c r="E51" s="255"/>
    </row>
    <row r="52" spans="1:5" x14ac:dyDescent="0.3">
      <c r="A52" s="100"/>
      <c r="B52" s="100"/>
      <c r="C52" s="110" t="s">
        <v>210</v>
      </c>
      <c r="D52" s="261"/>
      <c r="E52" s="261"/>
    </row>
    <row r="53" spans="1:5" x14ac:dyDescent="0.3">
      <c r="A53" s="8"/>
      <c r="B53" s="8"/>
      <c r="C53" t="s">
        <v>280</v>
      </c>
      <c r="D53" s="253"/>
      <c r="E53" s="253"/>
    </row>
    <row r="54" spans="1:5" x14ac:dyDescent="0.3"/>
  </sheetData>
  <mergeCells count="16">
    <mergeCell ref="A1:E1"/>
    <mergeCell ref="A3:B3"/>
    <mergeCell ref="A4:B4"/>
    <mergeCell ref="A5:B5"/>
    <mergeCell ref="A6:B6"/>
    <mergeCell ref="A2:B2"/>
    <mergeCell ref="D53:E53"/>
    <mergeCell ref="A7:B7"/>
    <mergeCell ref="A29:E29"/>
    <mergeCell ref="A30:B30"/>
    <mergeCell ref="A47:E47"/>
    <mergeCell ref="C51:E51"/>
    <mergeCell ref="A8:B8"/>
    <mergeCell ref="A48:E48"/>
    <mergeCell ref="D52:E52"/>
    <mergeCell ref="C49:E50"/>
  </mergeCells>
  <conditionalFormatting sqref="E45">
    <cfRule type="cellIs" dxfId="2" priority="1" operator="greaterThan">
      <formula>0</formula>
    </cfRule>
    <cfRule type="cellIs" dxfId="1" priority="2" operator="lessThan">
      <formula>0</formula>
    </cfRule>
  </conditionalFormatting>
  <printOptions horizontalCentered="1" verticalCentered="1"/>
  <pageMargins left="0.36" right="0.23622047244094491" top="0.34" bottom="0.35433070866141736" header="0.23" footer="0.31496062992125984"/>
  <pageSetup paperSize="9" scale="99" orientation="portrait" r:id="rId1"/>
  <ignoredErrors>
    <ignoredError sqref="D3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DB15-C9BB-4B7D-9500-DF043FB7FF3F}">
  <dimension ref="A1:I89"/>
  <sheetViews>
    <sheetView topLeftCell="A68" workbookViewId="0">
      <selection activeCell="E72" sqref="E72"/>
    </sheetView>
  </sheetViews>
  <sheetFormatPr defaultColWidth="0" defaultRowHeight="13.2" zeroHeight="1" x14ac:dyDescent="0.3"/>
  <cols>
    <col min="1" max="1" width="6" style="135" customWidth="1"/>
    <col min="2" max="2" width="57" style="135" customWidth="1"/>
    <col min="3" max="3" width="19.21875" style="135" customWidth="1"/>
    <col min="4" max="4" width="18.44140625" style="135" customWidth="1"/>
    <col min="5" max="5" width="17.77734375" style="135" customWidth="1"/>
    <col min="6" max="6" width="4.88671875" style="135" customWidth="1"/>
    <col min="7" max="9" width="0" style="135" hidden="1" customWidth="1"/>
    <col min="10" max="16384" width="8.88671875" style="135" hidden="1"/>
  </cols>
  <sheetData>
    <row r="1" spans="1:5" ht="28.2" customHeight="1" x14ac:dyDescent="0.3">
      <c r="A1" s="307" t="s">
        <v>362</v>
      </c>
      <c r="B1" s="308"/>
      <c r="C1" s="308"/>
      <c r="D1" s="308"/>
      <c r="E1" s="309"/>
    </row>
    <row r="2" spans="1:5" ht="28.2" customHeight="1" x14ac:dyDescent="0.3">
      <c r="A2" s="310" t="s">
        <v>363</v>
      </c>
      <c r="B2" s="311"/>
      <c r="C2" s="311"/>
      <c r="D2" s="311"/>
      <c r="E2" s="312"/>
    </row>
    <row r="3" spans="1:5" ht="13.2" customHeight="1" x14ac:dyDescent="0.3">
      <c r="A3" s="298" t="s">
        <v>127</v>
      </c>
      <c r="B3" s="298"/>
      <c r="C3" s="298" t="s">
        <v>364</v>
      </c>
      <c r="D3" s="298"/>
      <c r="E3" s="298"/>
    </row>
    <row r="4" spans="1:5" ht="57" customHeight="1" x14ac:dyDescent="0.3">
      <c r="A4" s="313"/>
      <c r="B4" s="314"/>
      <c r="C4" s="315"/>
      <c r="D4" s="316"/>
      <c r="E4" s="317"/>
    </row>
    <row r="5" spans="1:5" ht="13.2" customHeight="1" x14ac:dyDescent="0.3">
      <c r="A5" s="292" t="s">
        <v>365</v>
      </c>
      <c r="B5" s="292"/>
      <c r="C5" s="292" t="s">
        <v>131</v>
      </c>
      <c r="D5" s="292"/>
      <c r="E5" s="292"/>
    </row>
    <row r="6" spans="1:5" ht="13.2" customHeight="1" x14ac:dyDescent="0.3">
      <c r="A6" s="293" t="s">
        <v>444</v>
      </c>
      <c r="B6" s="294"/>
      <c r="C6" s="295" t="str">
        <f>STATEMENT!L4</f>
        <v xml:space="preserve"> </v>
      </c>
      <c r="D6" s="296"/>
      <c r="E6" s="297"/>
    </row>
    <row r="7" spans="1:5" ht="13.2" customHeight="1" x14ac:dyDescent="0.3">
      <c r="A7" s="298" t="s">
        <v>366</v>
      </c>
      <c r="B7" s="299"/>
      <c r="C7" s="292" t="s">
        <v>133</v>
      </c>
      <c r="D7" s="300" t="s">
        <v>449</v>
      </c>
      <c r="E7" s="301"/>
    </row>
    <row r="8" spans="1:5" ht="13.2" customHeight="1" x14ac:dyDescent="0.3">
      <c r="A8" s="299"/>
      <c r="B8" s="299"/>
      <c r="C8" s="292"/>
      <c r="D8" s="136" t="s">
        <v>135</v>
      </c>
      <c r="E8" s="136" t="s">
        <v>136</v>
      </c>
    </row>
    <row r="9" spans="1:5" ht="17.399999999999999" customHeight="1" x14ac:dyDescent="0.3">
      <c r="A9" s="302"/>
      <c r="B9" s="303"/>
      <c r="C9" s="137" t="str">
        <f>YEAR(E9)&amp;"-"&amp;YEAR(E9)+1</f>
        <v>2027-2028</v>
      </c>
      <c r="D9" s="138">
        <f>EDATE(INPUT!E29,IF(MONTH(INPUT!E29)=3,1,0))</f>
        <v>46113</v>
      </c>
      <c r="E9" s="138">
        <f>D9+364</f>
        <v>46477</v>
      </c>
    </row>
    <row r="10" spans="1:5" ht="17.55" customHeight="1" x14ac:dyDescent="0.3">
      <c r="A10" s="304" t="s">
        <v>148</v>
      </c>
      <c r="B10" s="305"/>
      <c r="C10" s="305"/>
      <c r="D10" s="305"/>
      <c r="E10" s="306"/>
    </row>
    <row r="11" spans="1:5" ht="17.55" customHeight="1" x14ac:dyDescent="0.3">
      <c r="A11" s="190" t="str">
        <f>TAX!F32</f>
        <v/>
      </c>
      <c r="B11" s="191" t="str">
        <f>"Information as per : "&amp;IF(A11="N",TAX!G3,TAX!A3)</f>
        <v>Information as per : OLD REGIME</v>
      </c>
      <c r="C11" s="139" t="s">
        <v>149</v>
      </c>
      <c r="D11" s="139" t="s">
        <v>149</v>
      </c>
      <c r="E11" s="140" t="s">
        <v>149</v>
      </c>
    </row>
    <row r="12" spans="1:5" ht="17.25" customHeight="1" x14ac:dyDescent="0.3">
      <c r="A12" s="141">
        <v>1</v>
      </c>
      <c r="B12" s="269" t="s">
        <v>367</v>
      </c>
      <c r="C12" s="269"/>
      <c r="D12" s="269"/>
      <c r="E12" s="270"/>
    </row>
    <row r="13" spans="1:5" ht="17.55" customHeight="1" x14ac:dyDescent="0.3">
      <c r="A13" s="142" t="s">
        <v>368</v>
      </c>
      <c r="B13" s="143" t="s">
        <v>369</v>
      </c>
      <c r="C13" s="144"/>
      <c r="D13" s="145">
        <f>STATEMENT!G22</f>
        <v>0</v>
      </c>
      <c r="E13" s="146"/>
    </row>
    <row r="14" spans="1:5" ht="30" customHeight="1" x14ac:dyDescent="0.3">
      <c r="A14" s="142" t="s">
        <v>370</v>
      </c>
      <c r="B14" s="143" t="s">
        <v>371</v>
      </c>
      <c r="C14" s="147"/>
      <c r="D14" s="145">
        <v>0</v>
      </c>
      <c r="E14" s="148"/>
    </row>
    <row r="15" spans="1:5" ht="30" customHeight="1" x14ac:dyDescent="0.3">
      <c r="A15" s="142" t="s">
        <v>372</v>
      </c>
      <c r="B15" s="143" t="s">
        <v>373</v>
      </c>
      <c r="C15" s="147"/>
      <c r="D15" s="145">
        <v>0</v>
      </c>
      <c r="E15" s="148"/>
    </row>
    <row r="16" spans="1:5" ht="17.55" customHeight="1" x14ac:dyDescent="0.3">
      <c r="A16" s="142" t="s">
        <v>374</v>
      </c>
      <c r="B16" s="143" t="s">
        <v>33</v>
      </c>
      <c r="C16" s="144"/>
      <c r="D16" s="149"/>
      <c r="E16" s="150">
        <f>SUM(D13:D15)</f>
        <v>0</v>
      </c>
    </row>
    <row r="17" spans="1:5" ht="19.8" customHeight="1" x14ac:dyDescent="0.3">
      <c r="A17" s="142" t="s">
        <v>375</v>
      </c>
      <c r="B17" s="143" t="s">
        <v>376</v>
      </c>
      <c r="C17" s="147"/>
      <c r="D17" s="151"/>
      <c r="E17" s="150">
        <v>0</v>
      </c>
    </row>
    <row r="18" spans="1:5" ht="17.25" customHeight="1" x14ac:dyDescent="0.3">
      <c r="A18" s="152">
        <v>2</v>
      </c>
      <c r="B18" s="275" t="s">
        <v>377</v>
      </c>
      <c r="C18" s="275"/>
      <c r="D18" s="275"/>
      <c r="E18" s="276"/>
    </row>
    <row r="19" spans="1:5" ht="17.55" customHeight="1" x14ac:dyDescent="0.3">
      <c r="A19" s="142" t="s">
        <v>368</v>
      </c>
      <c r="B19" s="143" t="s">
        <v>378</v>
      </c>
      <c r="C19" s="149"/>
      <c r="D19" s="145">
        <v>0</v>
      </c>
      <c r="E19" s="146"/>
    </row>
    <row r="20" spans="1:5" ht="17.25" customHeight="1" x14ac:dyDescent="0.3">
      <c r="A20" s="142" t="s">
        <v>370</v>
      </c>
      <c r="B20" s="143" t="s">
        <v>379</v>
      </c>
      <c r="C20" s="149"/>
      <c r="D20" s="145">
        <v>0</v>
      </c>
      <c r="E20" s="146"/>
    </row>
    <row r="21" spans="1:5" ht="17.55" customHeight="1" x14ac:dyDescent="0.3">
      <c r="A21" s="142" t="s">
        <v>372</v>
      </c>
      <c r="B21" s="143" t="s">
        <v>380</v>
      </c>
      <c r="C21" s="149"/>
      <c r="D21" s="145">
        <v>0</v>
      </c>
      <c r="E21" s="146"/>
    </row>
    <row r="22" spans="1:5" ht="30" customHeight="1" x14ac:dyDescent="0.3">
      <c r="A22" s="142" t="s">
        <v>374</v>
      </c>
      <c r="B22" s="143" t="s">
        <v>381</v>
      </c>
      <c r="C22" s="151"/>
      <c r="D22" s="145">
        <v>0</v>
      </c>
      <c r="E22" s="153"/>
    </row>
    <row r="23" spans="1:5" ht="17.55" customHeight="1" x14ac:dyDescent="0.3">
      <c r="A23" s="142" t="s">
        <v>375</v>
      </c>
      <c r="B23" s="143" t="s">
        <v>382</v>
      </c>
      <c r="C23" s="149"/>
      <c r="D23" s="145">
        <f>IF(A11="N",0,TAX!C6)</f>
        <v>0</v>
      </c>
      <c r="E23" s="146"/>
    </row>
    <row r="24" spans="1:5" ht="17.25" customHeight="1" x14ac:dyDescent="0.3">
      <c r="A24" s="142" t="s">
        <v>383</v>
      </c>
      <c r="B24" s="143" t="s">
        <v>384</v>
      </c>
      <c r="C24" s="149"/>
      <c r="D24" s="149"/>
      <c r="E24" s="146"/>
    </row>
    <row r="25" spans="1:5" ht="17.55" customHeight="1" x14ac:dyDescent="0.3">
      <c r="A25" s="154"/>
      <c r="B25" s="143" t="s">
        <v>385</v>
      </c>
      <c r="C25" s="145">
        <v>0</v>
      </c>
      <c r="D25" s="149"/>
      <c r="E25" s="146"/>
    </row>
    <row r="26" spans="1:5" ht="17.25" customHeight="1" x14ac:dyDescent="0.3">
      <c r="A26" s="154"/>
      <c r="B26" s="143" t="s">
        <v>385</v>
      </c>
      <c r="C26" s="145">
        <v>0</v>
      </c>
      <c r="D26" s="149"/>
      <c r="E26" s="146"/>
    </row>
    <row r="27" spans="1:5" ht="17.55" customHeight="1" x14ac:dyDescent="0.3">
      <c r="A27" s="154"/>
      <c r="B27" s="143" t="s">
        <v>385</v>
      </c>
      <c r="C27" s="145">
        <v>0</v>
      </c>
      <c r="D27" s="149"/>
      <c r="E27" s="146"/>
    </row>
    <row r="28" spans="1:5" ht="17.25" customHeight="1" x14ac:dyDescent="0.3">
      <c r="A28" s="154"/>
      <c r="B28" s="143" t="s">
        <v>385</v>
      </c>
      <c r="C28" s="145">
        <v>0</v>
      </c>
      <c r="D28" s="149"/>
      <c r="E28" s="146"/>
    </row>
    <row r="29" spans="1:5" ht="17.55" customHeight="1" x14ac:dyDescent="0.3">
      <c r="A29" s="154"/>
      <c r="B29" s="143" t="s">
        <v>385</v>
      </c>
      <c r="C29" s="145">
        <v>0</v>
      </c>
      <c r="D29" s="149"/>
      <c r="E29" s="146"/>
    </row>
    <row r="30" spans="1:5" ht="17.25" customHeight="1" x14ac:dyDescent="0.3">
      <c r="A30" s="154"/>
      <c r="B30" s="143" t="s">
        <v>386</v>
      </c>
      <c r="C30" s="145">
        <v>0</v>
      </c>
      <c r="D30" s="149"/>
      <c r="E30" s="146"/>
    </row>
    <row r="31" spans="1:5" ht="17.55" customHeight="1" x14ac:dyDescent="0.3">
      <c r="A31" s="142" t="s">
        <v>387</v>
      </c>
      <c r="B31" s="143" t="s">
        <v>388</v>
      </c>
      <c r="C31" s="149"/>
      <c r="D31" s="145">
        <f>SUM(C25:C30)</f>
        <v>0</v>
      </c>
      <c r="E31" s="146"/>
    </row>
    <row r="32" spans="1:5" ht="30" customHeight="1" x14ac:dyDescent="0.3">
      <c r="A32" s="142" t="s">
        <v>389</v>
      </c>
      <c r="B32" s="143" t="s">
        <v>390</v>
      </c>
      <c r="C32" s="147"/>
      <c r="D32" s="147"/>
      <c r="E32" s="150">
        <f>SUM(D19:D31)</f>
        <v>0</v>
      </c>
    </row>
    <row r="33" spans="1:5" ht="30" customHeight="1" x14ac:dyDescent="0.3">
      <c r="A33" s="152">
        <v>3</v>
      </c>
      <c r="B33" s="143" t="s">
        <v>391</v>
      </c>
      <c r="C33" s="151"/>
      <c r="E33" s="148">
        <f>E16-E32</f>
        <v>0</v>
      </c>
    </row>
    <row r="34" spans="1:5" ht="17.25" customHeight="1" x14ac:dyDescent="0.3">
      <c r="A34" s="152">
        <v>4</v>
      </c>
      <c r="B34" s="275" t="s">
        <v>392</v>
      </c>
      <c r="C34" s="275"/>
      <c r="D34" s="275"/>
      <c r="E34" s="276"/>
    </row>
    <row r="35" spans="1:5" ht="17.55" customHeight="1" x14ac:dyDescent="0.3">
      <c r="A35" s="155" t="s">
        <v>393</v>
      </c>
      <c r="B35" s="143" t="s">
        <v>394</v>
      </c>
      <c r="C35" s="156">
        <f>IF(A11="N",75000,50000)</f>
        <v>50000</v>
      </c>
      <c r="D35" s="157"/>
      <c r="E35" s="158"/>
    </row>
    <row r="36" spans="1:5" ht="17.25" customHeight="1" x14ac:dyDescent="0.3">
      <c r="A36" s="155" t="s">
        <v>395</v>
      </c>
      <c r="B36" s="143" t="s">
        <v>396</v>
      </c>
      <c r="C36" s="156">
        <v>0</v>
      </c>
      <c r="D36" s="157"/>
      <c r="E36" s="158"/>
    </row>
    <row r="37" spans="1:5" ht="17.55" customHeight="1" x14ac:dyDescent="0.3">
      <c r="A37" s="155" t="s">
        <v>397</v>
      </c>
      <c r="B37" s="143" t="s">
        <v>398</v>
      </c>
      <c r="C37" s="156">
        <f>IF(A11="N",0,TAX!C7)</f>
        <v>0</v>
      </c>
      <c r="D37" s="157"/>
      <c r="E37" s="158"/>
    </row>
    <row r="38" spans="1:5" ht="30" customHeight="1" x14ac:dyDescent="0.3">
      <c r="A38" s="152">
        <v>5</v>
      </c>
      <c r="B38" s="143" t="s">
        <v>399</v>
      </c>
      <c r="C38" s="159"/>
      <c r="D38" s="159">
        <f>SUM(C35:C37)</f>
        <v>50000</v>
      </c>
      <c r="E38" s="160"/>
    </row>
    <row r="39" spans="1:5" ht="30" customHeight="1" x14ac:dyDescent="0.3">
      <c r="A39" s="152">
        <v>6</v>
      </c>
      <c r="B39" s="143" t="s">
        <v>400</v>
      </c>
      <c r="C39" s="159"/>
      <c r="D39" s="159"/>
      <c r="E39" s="160">
        <f>E33+D23-D38</f>
        <v>-50000</v>
      </c>
    </row>
    <row r="40" spans="1:5" ht="17.55" customHeight="1" x14ac:dyDescent="0.3">
      <c r="A40" s="152">
        <v>7</v>
      </c>
      <c r="B40" s="275" t="s">
        <v>401</v>
      </c>
      <c r="C40" s="275"/>
      <c r="D40" s="275"/>
      <c r="E40" s="276"/>
    </row>
    <row r="41" spans="1:5" ht="30" customHeight="1" x14ac:dyDescent="0.3">
      <c r="A41" s="142" t="s">
        <v>368</v>
      </c>
      <c r="B41" s="143" t="s">
        <v>402</v>
      </c>
      <c r="C41" s="151">
        <f>TAX!C11</f>
        <v>0</v>
      </c>
      <c r="D41" s="161"/>
      <c r="E41" s="148"/>
    </row>
    <row r="42" spans="1:5" ht="17.55" customHeight="1" x14ac:dyDescent="0.3">
      <c r="A42" s="142" t="s">
        <v>370</v>
      </c>
      <c r="B42" s="143" t="s">
        <v>403</v>
      </c>
      <c r="C42" s="149">
        <f>TAX!C5</f>
        <v>0</v>
      </c>
      <c r="D42" s="162"/>
      <c r="E42" s="146"/>
    </row>
    <row r="43" spans="1:5" ht="30" customHeight="1" x14ac:dyDescent="0.3">
      <c r="A43" s="152">
        <v>8</v>
      </c>
      <c r="B43" s="143" t="s">
        <v>404</v>
      </c>
      <c r="C43" s="151"/>
      <c r="D43" s="161">
        <f>C42-C41</f>
        <v>0</v>
      </c>
      <c r="E43" s="150"/>
    </row>
    <row r="44" spans="1:5" ht="17.25" customHeight="1" x14ac:dyDescent="0.3">
      <c r="A44" s="163">
        <v>9</v>
      </c>
      <c r="B44" s="164" t="s">
        <v>405</v>
      </c>
      <c r="C44" s="165"/>
      <c r="D44" s="165"/>
      <c r="E44" s="166">
        <f>E39+D43</f>
        <v>-50000</v>
      </c>
    </row>
    <row r="45" spans="1:5" s="167" customFormat="1" ht="24" customHeight="1" x14ac:dyDescent="0.3">
      <c r="A45" s="268" t="str">
        <f>"Form 16 - Part B                        PAN No: "&amp;STATEMENT!L4&amp;"                             Employee Name: "&amp;STATEMENT!D3&amp;"                      AY: "&amp;C9</f>
        <v>Form 16 - Part B                        PAN No:                               Employee Name:                        AY: 2027-2028</v>
      </c>
      <c r="B45" s="268"/>
      <c r="C45" s="268"/>
      <c r="D45" s="268"/>
      <c r="E45" s="268"/>
    </row>
    <row r="46" spans="1:5" ht="17.55" customHeight="1" x14ac:dyDescent="0.3">
      <c r="A46" s="141">
        <v>10</v>
      </c>
      <c r="B46" s="269" t="s">
        <v>406</v>
      </c>
      <c r="C46" s="269"/>
      <c r="D46" s="269"/>
      <c r="E46" s="270"/>
    </row>
    <row r="47" spans="1:5" ht="14.4" x14ac:dyDescent="0.3">
      <c r="A47" s="271"/>
      <c r="B47" s="272"/>
      <c r="C47" s="272"/>
      <c r="D47" s="168" t="s">
        <v>172</v>
      </c>
      <c r="E47" s="169" t="s">
        <v>173</v>
      </c>
    </row>
    <row r="48" spans="1:5" ht="30.3" customHeight="1" x14ac:dyDescent="0.3">
      <c r="A48" s="142" t="s">
        <v>368</v>
      </c>
      <c r="B48" s="143" t="s">
        <v>407</v>
      </c>
      <c r="C48" s="151"/>
      <c r="D48" s="162">
        <f>INPUT!J12</f>
        <v>0</v>
      </c>
      <c r="E48" s="170">
        <f>IF(D48&lt;150000,D48,150000)</f>
        <v>0</v>
      </c>
    </row>
    <row r="49" spans="1:5" ht="30" customHeight="1" x14ac:dyDescent="0.3">
      <c r="A49" s="142" t="s">
        <v>370</v>
      </c>
      <c r="B49" s="143" t="s">
        <v>408</v>
      </c>
      <c r="C49" s="151"/>
      <c r="D49" s="162">
        <v>0</v>
      </c>
      <c r="E49" s="170">
        <f>D49</f>
        <v>0</v>
      </c>
    </row>
    <row r="50" spans="1:5" ht="30" customHeight="1" x14ac:dyDescent="0.3">
      <c r="A50" s="142" t="s">
        <v>372</v>
      </c>
      <c r="B50" s="143" t="s">
        <v>409</v>
      </c>
      <c r="C50" s="151"/>
      <c r="D50" s="162">
        <v>0</v>
      </c>
      <c r="E50" s="170">
        <f>D50</f>
        <v>0</v>
      </c>
    </row>
    <row r="51" spans="1:5" ht="30" customHeight="1" x14ac:dyDescent="0.3">
      <c r="A51" s="142" t="s">
        <v>374</v>
      </c>
      <c r="B51" s="143" t="s">
        <v>410</v>
      </c>
      <c r="C51" s="151"/>
      <c r="D51" s="162">
        <f>D48+D49+D50</f>
        <v>0</v>
      </c>
      <c r="E51" s="170">
        <f>E48+E49+E50</f>
        <v>0</v>
      </c>
    </row>
    <row r="52" spans="1:5" ht="30" customHeight="1" x14ac:dyDescent="0.3">
      <c r="A52" s="142" t="s">
        <v>375</v>
      </c>
      <c r="B52" s="143" t="s">
        <v>411</v>
      </c>
      <c r="C52" s="151"/>
      <c r="D52" s="162">
        <f>INPUT!J15</f>
        <v>0</v>
      </c>
      <c r="E52" s="170">
        <f>D52</f>
        <v>0</v>
      </c>
    </row>
    <row r="53" spans="1:5" ht="30.3" customHeight="1" x14ac:dyDescent="0.3">
      <c r="A53" s="142" t="s">
        <v>383</v>
      </c>
      <c r="B53" s="143" t="s">
        <v>412</v>
      </c>
      <c r="C53" s="151"/>
      <c r="D53" s="162">
        <v>0</v>
      </c>
      <c r="E53" s="170">
        <f>D53</f>
        <v>0</v>
      </c>
    </row>
    <row r="54" spans="1:5" ht="30" customHeight="1" x14ac:dyDescent="0.3">
      <c r="A54" s="155" t="s">
        <v>413</v>
      </c>
      <c r="B54" s="143" t="s">
        <v>414</v>
      </c>
      <c r="C54" s="151"/>
      <c r="D54" s="162">
        <f>INPUT!J18</f>
        <v>0</v>
      </c>
      <c r="E54" s="170">
        <f>D54</f>
        <v>0</v>
      </c>
    </row>
    <row r="55" spans="1:5" ht="30" customHeight="1" x14ac:dyDescent="0.3">
      <c r="A55" s="142" t="s">
        <v>389</v>
      </c>
      <c r="B55" s="143" t="s">
        <v>415</v>
      </c>
      <c r="C55" s="151"/>
      <c r="D55" s="162">
        <f>INPUT!J16</f>
        <v>0</v>
      </c>
      <c r="E55" s="170">
        <f>D55</f>
        <v>0</v>
      </c>
    </row>
    <row r="56" spans="1:5" ht="14.4" x14ac:dyDescent="0.3">
      <c r="A56" s="273"/>
      <c r="B56" s="274"/>
      <c r="C56" s="168" t="s">
        <v>172</v>
      </c>
      <c r="D56" s="168" t="s">
        <v>190</v>
      </c>
      <c r="E56" s="169" t="s">
        <v>173</v>
      </c>
    </row>
    <row r="57" spans="1:5" ht="30" customHeight="1" x14ac:dyDescent="0.3">
      <c r="A57" s="142" t="s">
        <v>416</v>
      </c>
      <c r="B57" s="143" t="s">
        <v>417</v>
      </c>
      <c r="C57" s="145"/>
      <c r="D57" s="145">
        <f>IF(A11="N",0,INPUT!J19)</f>
        <v>0</v>
      </c>
      <c r="E57" s="150">
        <f>D57</f>
        <v>0</v>
      </c>
    </row>
    <row r="58" spans="1:5" ht="30.3" customHeight="1" x14ac:dyDescent="0.3">
      <c r="A58" s="142" t="s">
        <v>418</v>
      </c>
      <c r="B58" s="143" t="s">
        <v>419</v>
      </c>
      <c r="C58" s="145"/>
      <c r="D58" s="145">
        <f>IF(A11="N",0,INPUT!J17)</f>
        <v>0</v>
      </c>
      <c r="E58" s="150">
        <f>D58</f>
        <v>0</v>
      </c>
    </row>
    <row r="59" spans="1:5" ht="17.25" customHeight="1" x14ac:dyDescent="0.3">
      <c r="A59" s="142" t="s">
        <v>420</v>
      </c>
      <c r="B59" s="275" t="s">
        <v>421</v>
      </c>
      <c r="C59" s="275"/>
      <c r="D59" s="275"/>
      <c r="E59" s="276"/>
    </row>
    <row r="60" spans="1:5" ht="17.55" customHeight="1" x14ac:dyDescent="0.3">
      <c r="A60" s="171"/>
      <c r="B60" s="193" t="s">
        <v>422</v>
      </c>
      <c r="C60" s="145"/>
      <c r="D60" s="145">
        <v>0</v>
      </c>
      <c r="E60" s="150"/>
    </row>
    <row r="61" spans="1:5" ht="17.25" customHeight="1" x14ac:dyDescent="0.3">
      <c r="A61" s="171"/>
      <c r="B61" s="193" t="s">
        <v>422</v>
      </c>
      <c r="C61" s="145"/>
      <c r="D61" s="145">
        <v>0</v>
      </c>
      <c r="E61" s="150"/>
    </row>
    <row r="62" spans="1:5" ht="17.55" customHeight="1" x14ac:dyDescent="0.3">
      <c r="A62" s="171"/>
      <c r="B62" s="193" t="s">
        <v>422</v>
      </c>
      <c r="C62" s="145"/>
      <c r="D62" s="145">
        <v>0</v>
      </c>
      <c r="E62" s="150"/>
    </row>
    <row r="63" spans="1:5" ht="17.25" customHeight="1" x14ac:dyDescent="0.3">
      <c r="A63" s="171"/>
      <c r="B63" s="193" t="s">
        <v>422</v>
      </c>
      <c r="C63" s="145"/>
      <c r="D63" s="145">
        <v>0</v>
      </c>
      <c r="E63" s="150"/>
    </row>
    <row r="64" spans="1:5" ht="17.55" customHeight="1" x14ac:dyDescent="0.3">
      <c r="A64" s="171"/>
      <c r="B64" s="193" t="s">
        <v>422</v>
      </c>
      <c r="C64" s="145"/>
      <c r="D64" s="145">
        <v>0</v>
      </c>
      <c r="E64" s="150"/>
    </row>
    <row r="65" spans="1:9" ht="17.25" customHeight="1" x14ac:dyDescent="0.3">
      <c r="A65" s="171"/>
      <c r="B65" s="193" t="s">
        <v>422</v>
      </c>
      <c r="C65" s="145"/>
      <c r="D65" s="145">
        <v>0</v>
      </c>
      <c r="E65" s="150"/>
    </row>
    <row r="66" spans="1:9" ht="17.55" customHeight="1" x14ac:dyDescent="0.3">
      <c r="A66" s="171"/>
      <c r="B66" s="193" t="s">
        <v>386</v>
      </c>
      <c r="C66" s="145"/>
      <c r="D66" s="192">
        <v>0</v>
      </c>
      <c r="E66" s="150"/>
    </row>
    <row r="67" spans="1:9" ht="30" customHeight="1" x14ac:dyDescent="0.3">
      <c r="A67" s="142" t="s">
        <v>423</v>
      </c>
      <c r="B67" s="143" t="s">
        <v>424</v>
      </c>
      <c r="C67" s="145"/>
      <c r="D67" s="145">
        <f>SUM(D60:D66)</f>
        <v>0</v>
      </c>
      <c r="E67" s="150">
        <f>IF(A11="N",0,D67)</f>
        <v>0</v>
      </c>
    </row>
    <row r="68" spans="1:9" ht="46.8" customHeight="1" x14ac:dyDescent="0.3">
      <c r="A68" s="152">
        <v>11</v>
      </c>
      <c r="B68" s="172" t="s">
        <v>425</v>
      </c>
      <c r="C68" s="151"/>
      <c r="D68" s="151"/>
      <c r="E68" s="150">
        <f>IF(A11="N",0,SUM(E51:E67))</f>
        <v>0</v>
      </c>
    </row>
    <row r="69" spans="1:9" ht="17.25" customHeight="1" x14ac:dyDescent="0.3">
      <c r="A69" s="152">
        <v>12</v>
      </c>
      <c r="B69" s="143" t="s">
        <v>426</v>
      </c>
      <c r="C69" s="149"/>
      <c r="D69" s="149"/>
      <c r="E69" s="150">
        <f>ROUND(TAX!M22,0)</f>
        <v>-75000</v>
      </c>
      <c r="G69" s="175"/>
      <c r="H69" s="175"/>
      <c r="I69" s="175"/>
    </row>
    <row r="70" spans="1:9" ht="17.55" customHeight="1" x14ac:dyDescent="0.3">
      <c r="A70" s="152">
        <v>13</v>
      </c>
      <c r="B70" s="143" t="s">
        <v>427</v>
      </c>
      <c r="C70" s="149"/>
      <c r="D70" s="149"/>
      <c r="E70" s="150">
        <f>ROUND(TAX!M24,0)</f>
        <v>0</v>
      </c>
    </row>
    <row r="71" spans="1:9" ht="17.25" customHeight="1" x14ac:dyDescent="0.3">
      <c r="A71" s="152">
        <v>14</v>
      </c>
      <c r="B71" s="143" t="s">
        <v>428</v>
      </c>
      <c r="C71" s="149"/>
      <c r="D71" s="149"/>
      <c r="E71" s="150">
        <f>ROUND(TAX!M25,0)</f>
        <v>0</v>
      </c>
    </row>
    <row r="72" spans="1:9" ht="17.25" customHeight="1" x14ac:dyDescent="0.3">
      <c r="A72" s="152">
        <v>15</v>
      </c>
      <c r="B72" s="143" t="s">
        <v>479</v>
      </c>
      <c r="C72" s="149"/>
      <c r="D72" s="149"/>
      <c r="E72" s="150">
        <f>ROUND(TAX!M26,0)</f>
        <v>0</v>
      </c>
    </row>
    <row r="73" spans="1:9" ht="17.55" customHeight="1" x14ac:dyDescent="0.3">
      <c r="A73" s="152">
        <v>16</v>
      </c>
      <c r="B73" s="143" t="s">
        <v>429</v>
      </c>
      <c r="C73" s="149"/>
      <c r="D73" s="149"/>
      <c r="E73" s="150">
        <v>0</v>
      </c>
    </row>
    <row r="74" spans="1:9" ht="17.25" customHeight="1" x14ac:dyDescent="0.3">
      <c r="A74" s="152">
        <v>17</v>
      </c>
      <c r="B74" s="143" t="s">
        <v>430</v>
      </c>
      <c r="C74" s="149"/>
      <c r="D74" s="149"/>
      <c r="E74" s="150">
        <f>TAX!M28</f>
        <v>0</v>
      </c>
    </row>
    <row r="75" spans="1:9" ht="17.55" customHeight="1" x14ac:dyDescent="0.3">
      <c r="A75" s="152">
        <v>18</v>
      </c>
      <c r="B75" s="143" t="s">
        <v>480</v>
      </c>
      <c r="C75" s="149"/>
      <c r="D75" s="149"/>
      <c r="E75" s="150">
        <f>E70-E71-E72-+E73+E74</f>
        <v>0</v>
      </c>
    </row>
    <row r="76" spans="1:9" ht="17.25" customHeight="1" x14ac:dyDescent="0.3">
      <c r="A76" s="152">
        <v>19</v>
      </c>
      <c r="B76" s="143" t="s">
        <v>431</v>
      </c>
      <c r="C76" s="149"/>
      <c r="D76" s="149"/>
      <c r="E76" s="150">
        <v>0</v>
      </c>
    </row>
    <row r="77" spans="1:9" ht="17.55" customHeight="1" x14ac:dyDescent="0.3">
      <c r="A77" s="152">
        <v>20</v>
      </c>
      <c r="B77" s="143" t="s">
        <v>432</v>
      </c>
      <c r="C77" s="149"/>
      <c r="D77" s="149"/>
      <c r="E77" s="150">
        <f>E75-E76</f>
        <v>0</v>
      </c>
    </row>
    <row r="78" spans="1:9" ht="17.55" customHeight="1" x14ac:dyDescent="0.3">
      <c r="A78" s="152">
        <v>21</v>
      </c>
      <c r="B78" s="143" t="s">
        <v>433</v>
      </c>
      <c r="C78" s="149"/>
      <c r="D78" s="149"/>
      <c r="E78" s="150">
        <f>STATEMENT!L22</f>
        <v>0</v>
      </c>
    </row>
    <row r="79" spans="1:9" ht="17.55" customHeight="1" x14ac:dyDescent="0.3">
      <c r="A79" s="163">
        <v>22</v>
      </c>
      <c r="B79" s="164" t="s">
        <v>439</v>
      </c>
      <c r="C79" s="165"/>
      <c r="D79" s="182" t="str">
        <f>IF(E79="N.A.","",IF(E79&gt;0,"Excess",IF(E79&lt;0,"Shortfall","")))</f>
        <v/>
      </c>
      <c r="E79" s="166" t="str">
        <f>IF((E78-E77)&lt;100,"N.A.",E78-E77)</f>
        <v>N.A.</v>
      </c>
    </row>
    <row r="80" spans="1:9" ht="17.25" customHeight="1" x14ac:dyDescent="0.3">
      <c r="A80" s="277" t="s">
        <v>203</v>
      </c>
      <c r="B80" s="277"/>
      <c r="C80" s="277"/>
      <c r="D80" s="277"/>
      <c r="E80" s="277"/>
    </row>
    <row r="81" spans="1:5" ht="43.8" customHeight="1" x14ac:dyDescent="0.3">
      <c r="A81" s="278" t="s">
        <v>448</v>
      </c>
      <c r="B81" s="279"/>
      <c r="C81" s="279"/>
      <c r="D81" s="279"/>
      <c r="E81" s="280"/>
    </row>
    <row r="82" spans="1:5" ht="17.399999999999999" customHeight="1" x14ac:dyDescent="0.3">
      <c r="A82" s="281" t="s">
        <v>447</v>
      </c>
      <c r="B82" s="282"/>
      <c r="C82" s="283" t="s">
        <v>434</v>
      </c>
      <c r="D82" s="284"/>
      <c r="E82" s="285"/>
    </row>
    <row r="83" spans="1:5" ht="17.399999999999999" customHeight="1" x14ac:dyDescent="0.3">
      <c r="A83" s="173" t="s">
        <v>312</v>
      </c>
      <c r="B83" s="174">
        <f ca="1">TODAY()</f>
        <v>46214</v>
      </c>
      <c r="C83" s="286"/>
      <c r="D83" s="287"/>
      <c r="E83" s="288"/>
    </row>
    <row r="84" spans="1:5" ht="17.55" customHeight="1" x14ac:dyDescent="0.3">
      <c r="A84" s="281" t="s">
        <v>209</v>
      </c>
      <c r="B84" s="282"/>
      <c r="C84" s="289" t="s">
        <v>446</v>
      </c>
      <c r="D84" s="290"/>
      <c r="E84" s="291"/>
    </row>
    <row r="85" spans="1:5" ht="241.8" hidden="1" customHeight="1" x14ac:dyDescent="0.3">
      <c r="A85" s="266" t="s">
        <v>435</v>
      </c>
      <c r="B85" s="267"/>
      <c r="C85" s="267"/>
      <c r="D85" s="267"/>
      <c r="E85" s="267"/>
    </row>
    <row r="86" spans="1:5" x14ac:dyDescent="0.3">
      <c r="A86" s="167"/>
    </row>
    <row r="87" spans="1:5" x14ac:dyDescent="0.3"/>
    <row r="88" spans="1:5" x14ac:dyDescent="0.3">
      <c r="A88" s="135" t="s">
        <v>478</v>
      </c>
    </row>
    <row r="89" spans="1:5" x14ac:dyDescent="0.3"/>
  </sheetData>
  <sheetProtection algorithmName="SHA-512" hashValue="fYbAhpPB4O0/JTvyUkid1l+p0u2lbSP8k4oPQ1phL8mSF7iYaRmAEwISpH/eZsZvE7/vWTTOo7/NBnUvz9NEWA==" saltValue="B7AXKzt5RGiQrenXGMX6lw==" spinCount="100000" sheet="1" objects="1" scenarios="1"/>
  <mergeCells count="31">
    <mergeCell ref="A1:E1"/>
    <mergeCell ref="A2:E2"/>
    <mergeCell ref="A3:B3"/>
    <mergeCell ref="C3:E3"/>
    <mergeCell ref="A4:B4"/>
    <mergeCell ref="C4:E4"/>
    <mergeCell ref="B40:E40"/>
    <mergeCell ref="A5:B5"/>
    <mergeCell ref="C5:E5"/>
    <mergeCell ref="A6:B6"/>
    <mergeCell ref="C6:E6"/>
    <mergeCell ref="A7:B8"/>
    <mergeCell ref="C7:C8"/>
    <mergeCell ref="D7:E7"/>
    <mergeCell ref="A9:B9"/>
    <mergeCell ref="A10:E10"/>
    <mergeCell ref="B12:E12"/>
    <mergeCell ref="B18:E18"/>
    <mergeCell ref="B34:E34"/>
    <mergeCell ref="A85:E85"/>
    <mergeCell ref="A45:E45"/>
    <mergeCell ref="B46:E46"/>
    <mergeCell ref="A47:C47"/>
    <mergeCell ref="A56:B56"/>
    <mergeCell ref="B59:E59"/>
    <mergeCell ref="A80:E80"/>
    <mergeCell ref="A81:E81"/>
    <mergeCell ref="A82:B82"/>
    <mergeCell ref="C82:E83"/>
    <mergeCell ref="A84:B84"/>
    <mergeCell ref="C84:E84"/>
  </mergeCells>
  <printOptions horizontalCentered="1"/>
  <pageMargins left="0.49" right="0.15748031496062992" top="0.55118110236220474" bottom="0.6" header="0.31496062992125984" footer="0.27559055118110237"/>
  <pageSetup paperSize="9" scale="82" fitToHeight="0" orientation="portrait" horizontalDpi="300" verticalDpi="300" r:id="rId1"/>
  <headerFoot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6500-625B-4D90-B60D-A39FE4FF808D}">
  <dimension ref="A1:S44"/>
  <sheetViews>
    <sheetView showGridLines="0" topLeftCell="A11" zoomScale="80" zoomScaleNormal="80" workbookViewId="0">
      <selection activeCell="G18" sqref="G18"/>
    </sheetView>
  </sheetViews>
  <sheetFormatPr defaultColWidth="0" defaultRowHeight="14.4" customHeight="1" zeroHeight="1" x14ac:dyDescent="0.3"/>
  <cols>
    <col min="1" max="1" width="28.5546875" customWidth="1"/>
    <col min="2" max="2" width="6" bestFit="1" customWidth="1"/>
    <col min="3" max="3" width="11.5546875" customWidth="1"/>
    <col min="4" max="4" width="9.6640625" hidden="1" customWidth="1"/>
    <col min="5" max="5" width="10.33203125" hidden="1" customWidth="1"/>
    <col min="6" max="6" width="4" customWidth="1"/>
    <col min="7" max="7" width="29" customWidth="1"/>
    <col min="8" max="8" width="6.44140625" customWidth="1"/>
    <col min="9" max="9" width="11.6640625" customWidth="1"/>
    <col min="10" max="11" width="10" hidden="1" customWidth="1"/>
    <col min="12" max="12" width="9.33203125" hidden="1" customWidth="1"/>
    <col min="13" max="13" width="8.88671875" hidden="1" customWidth="1"/>
    <col min="14" max="14" width="14.33203125" hidden="1" customWidth="1"/>
    <col min="15" max="15" width="11.33203125" hidden="1" customWidth="1"/>
    <col min="16" max="16" width="9.33203125" hidden="1" customWidth="1"/>
    <col min="17" max="17" width="8.88671875" customWidth="1"/>
    <col min="18" max="16384" width="8.88671875" hidden="1"/>
  </cols>
  <sheetData>
    <row r="1" spans="1:19" ht="23.4" x14ac:dyDescent="0.45">
      <c r="A1" s="237" t="s">
        <v>477</v>
      </c>
      <c r="B1" s="237"/>
      <c r="C1" s="237"/>
      <c r="D1" s="237"/>
      <c r="E1" s="237"/>
      <c r="F1" s="237"/>
      <c r="G1" s="237"/>
      <c r="H1" s="237"/>
      <c r="I1" s="237"/>
    </row>
    <row r="2" spans="1:19" x14ac:dyDescent="0.3"/>
    <row r="3" spans="1:19" ht="23.25" customHeight="1" x14ac:dyDescent="0.4">
      <c r="A3" s="243" t="s">
        <v>68</v>
      </c>
      <c r="B3" s="243"/>
      <c r="C3" s="243"/>
      <c r="D3" s="20"/>
      <c r="E3" s="20"/>
      <c r="F3" s="18"/>
      <c r="G3" s="244" t="s">
        <v>455</v>
      </c>
      <c r="H3" s="244"/>
      <c r="I3" s="244"/>
    </row>
    <row r="4" spans="1:19" ht="21.9" customHeight="1" x14ac:dyDescent="0.3">
      <c r="A4" s="241" t="s">
        <v>119</v>
      </c>
      <c r="B4" s="242"/>
      <c r="C4" s="207">
        <v>1345587</v>
      </c>
      <c r="D4" s="16"/>
      <c r="E4" s="16"/>
      <c r="F4" s="10"/>
      <c r="G4" s="241" t="s">
        <v>119</v>
      </c>
      <c r="H4" s="242"/>
      <c r="I4" s="27">
        <f>C4</f>
        <v>1345587</v>
      </c>
    </row>
    <row r="5" spans="1:19" ht="21.9" customHeight="1" x14ac:dyDescent="0.3">
      <c r="A5" s="241" t="s">
        <v>121</v>
      </c>
      <c r="B5" s="242"/>
      <c r="C5" s="207">
        <v>0</v>
      </c>
      <c r="D5" s="16"/>
      <c r="E5" s="16"/>
      <c r="F5" s="10"/>
      <c r="G5" s="241" t="s">
        <v>121</v>
      </c>
      <c r="H5" s="242"/>
      <c r="I5" s="27">
        <f>C5</f>
        <v>0</v>
      </c>
    </row>
    <row r="6" spans="1:19" ht="21.9" customHeight="1" x14ac:dyDescent="0.3">
      <c r="A6" s="241" t="s">
        <v>109</v>
      </c>
      <c r="B6" s="242"/>
      <c r="C6" s="207">
        <v>0</v>
      </c>
      <c r="D6" s="16"/>
      <c r="E6" s="16"/>
      <c r="F6" s="10"/>
      <c r="G6" s="241" t="s">
        <v>109</v>
      </c>
      <c r="H6" s="242"/>
      <c r="I6" s="27">
        <v>0</v>
      </c>
    </row>
    <row r="7" spans="1:19" ht="21.9" customHeight="1" x14ac:dyDescent="0.3">
      <c r="A7" s="241" t="s">
        <v>71</v>
      </c>
      <c r="B7" s="242"/>
      <c r="C7" s="207">
        <v>2400</v>
      </c>
      <c r="D7" s="16"/>
      <c r="E7" s="16"/>
      <c r="F7" s="10"/>
      <c r="G7" s="241" t="s">
        <v>71</v>
      </c>
      <c r="H7" s="242"/>
      <c r="I7" s="27">
        <v>0</v>
      </c>
    </row>
    <row r="8" spans="1:19" ht="21.9" customHeight="1" x14ac:dyDescent="0.3">
      <c r="A8" s="241" t="s">
        <v>72</v>
      </c>
      <c r="B8" s="242"/>
      <c r="C8" s="27">
        <v>50000</v>
      </c>
      <c r="D8" s="16"/>
      <c r="E8" s="16"/>
      <c r="F8" s="10"/>
      <c r="G8" s="241" t="s">
        <v>72</v>
      </c>
      <c r="H8" s="242"/>
      <c r="I8" s="27">
        <v>75000</v>
      </c>
    </row>
    <row r="9" spans="1:19" ht="21.9" customHeight="1" x14ac:dyDescent="0.3">
      <c r="A9" s="241" t="s">
        <v>56</v>
      </c>
      <c r="B9" s="242"/>
      <c r="C9" s="207">
        <v>150000</v>
      </c>
      <c r="D9" s="16"/>
      <c r="E9" s="16"/>
      <c r="F9" s="10"/>
      <c r="G9" s="241" t="s">
        <v>56</v>
      </c>
      <c r="H9" s="242"/>
      <c r="I9" s="27">
        <v>0</v>
      </c>
    </row>
    <row r="10" spans="1:19" ht="21.9" customHeight="1" x14ac:dyDescent="0.3">
      <c r="A10" s="241" t="s">
        <v>73</v>
      </c>
      <c r="B10" s="242"/>
      <c r="C10" s="207">
        <v>25000</v>
      </c>
      <c r="D10" s="16"/>
      <c r="E10" s="16"/>
      <c r="F10" s="10"/>
      <c r="G10" s="241" t="s">
        <v>73</v>
      </c>
      <c r="H10" s="242"/>
      <c r="I10" s="27">
        <v>0</v>
      </c>
    </row>
    <row r="11" spans="1:19" ht="21.9" customHeight="1" x14ac:dyDescent="0.3">
      <c r="A11" s="241" t="s">
        <v>74</v>
      </c>
      <c r="B11" s="242"/>
      <c r="C11" s="207">
        <v>200000</v>
      </c>
      <c r="D11" s="16"/>
      <c r="E11" s="16"/>
      <c r="F11" s="10"/>
      <c r="G11" s="241" t="s">
        <v>74</v>
      </c>
      <c r="H11" s="242"/>
      <c r="I11" s="27">
        <v>0</v>
      </c>
      <c r="N11" s="250" t="s">
        <v>353</v>
      </c>
      <c r="O11" s="250"/>
      <c r="P11" s="250"/>
    </row>
    <row r="12" spans="1:19" ht="21.9" customHeight="1" x14ac:dyDescent="0.3">
      <c r="A12" s="241" t="s">
        <v>122</v>
      </c>
      <c r="B12" s="242"/>
      <c r="C12" s="207">
        <v>0</v>
      </c>
      <c r="D12" s="16"/>
      <c r="E12" s="16"/>
      <c r="F12" s="10"/>
      <c r="G12" s="241" t="s">
        <v>122</v>
      </c>
      <c r="H12" s="242"/>
      <c r="I12" s="27">
        <f>C12</f>
        <v>0</v>
      </c>
      <c r="N12" s="130" t="s">
        <v>348</v>
      </c>
      <c r="O12" s="132" t="s">
        <v>349</v>
      </c>
      <c r="P12" s="132" t="s">
        <v>350</v>
      </c>
    </row>
    <row r="13" spans="1:19" ht="21.9" customHeight="1" x14ac:dyDescent="0.3">
      <c r="A13" s="241" t="s">
        <v>260</v>
      </c>
      <c r="B13" s="242"/>
      <c r="C13" s="92">
        <f>SUM(C6:C12)</f>
        <v>427400</v>
      </c>
      <c r="D13" s="16"/>
      <c r="E13" s="16"/>
      <c r="F13" s="10"/>
      <c r="G13" s="241" t="s">
        <v>260</v>
      </c>
      <c r="H13" s="242"/>
      <c r="I13" s="92">
        <f>SUM(I6:I12)</f>
        <v>75000</v>
      </c>
      <c r="N13" s="9" t="s">
        <v>354</v>
      </c>
      <c r="O13" s="133">
        <f>C14-O14-O15</f>
        <v>918187</v>
      </c>
      <c r="P13" s="133">
        <f>SUM(C15:C21)</f>
        <v>96137.400000000009</v>
      </c>
      <c r="Q13" s="70"/>
      <c r="R13" s="70"/>
      <c r="S13" s="70"/>
    </row>
    <row r="14" spans="1:19" ht="21.9" customHeight="1" x14ac:dyDescent="0.3">
      <c r="A14" s="241" t="s">
        <v>351</v>
      </c>
      <c r="B14" s="242"/>
      <c r="C14" s="93">
        <f>C4+C5-C6-C7-C8-C9-C10-C11-C12</f>
        <v>918187</v>
      </c>
      <c r="D14" s="17" t="s">
        <v>67</v>
      </c>
      <c r="E14" s="17" t="s">
        <v>66</v>
      </c>
      <c r="F14" s="10"/>
      <c r="G14" s="241" t="s">
        <v>351</v>
      </c>
      <c r="H14" s="242"/>
      <c r="I14" s="93">
        <f>I4+I5-I6-I7-I8-I9-I10-I11-I12</f>
        <v>1270587</v>
      </c>
      <c r="J14" s="17" t="s">
        <v>67</v>
      </c>
      <c r="K14" s="17" t="s">
        <v>66</v>
      </c>
      <c r="L14" s="25">
        <v>1200000</v>
      </c>
      <c r="N14" s="9" t="s">
        <v>346</v>
      </c>
      <c r="O14" s="133">
        <f>E22</f>
        <v>0</v>
      </c>
      <c r="P14" s="133">
        <f>O14*H22</f>
        <v>0</v>
      </c>
      <c r="Q14" s="70"/>
      <c r="R14" s="70"/>
      <c r="S14" s="70"/>
    </row>
    <row r="15" spans="1:19" ht="21.9" customHeight="1" x14ac:dyDescent="0.3">
      <c r="A15" s="9" t="s">
        <v>69</v>
      </c>
      <c r="B15" s="26">
        <v>0</v>
      </c>
      <c r="C15" s="27">
        <f t="shared" ref="C15:C22" si="0">E15*B15</f>
        <v>0</v>
      </c>
      <c r="D15" s="17">
        <f>INPUT!J34+INPUT!J35</f>
        <v>0</v>
      </c>
      <c r="E15" s="17">
        <v>250000</v>
      </c>
      <c r="F15" s="10"/>
      <c r="G15" s="9" t="s">
        <v>463</v>
      </c>
      <c r="H15" s="26">
        <v>0</v>
      </c>
      <c r="I15" s="27">
        <f t="shared" ref="I15:I21" si="1">K15*H15</f>
        <v>0</v>
      </c>
      <c r="J15">
        <f>INPUT!J34+INPUT!J35</f>
        <v>0</v>
      </c>
      <c r="K15" s="19">
        <v>400000</v>
      </c>
      <c r="L15" s="70" t="s">
        <v>472</v>
      </c>
      <c r="N15" s="9" t="s">
        <v>347</v>
      </c>
      <c r="O15" s="133">
        <f>E23</f>
        <v>0</v>
      </c>
      <c r="P15" s="133">
        <f>IF((O15-100000)&lt;=0,0,(O15-100000))*H23</f>
        <v>0</v>
      </c>
      <c r="Q15" s="70"/>
      <c r="R15" s="70"/>
      <c r="S15" s="70"/>
    </row>
    <row r="16" spans="1:19" ht="21.9" customHeight="1" x14ac:dyDescent="0.3">
      <c r="A16" s="9" t="s">
        <v>75</v>
      </c>
      <c r="B16" s="26">
        <v>0.05</v>
      </c>
      <c r="C16" s="27">
        <f t="shared" si="0"/>
        <v>12500</v>
      </c>
      <c r="D16" s="17">
        <f>IF((C14-D15-E15)&lt;=0,0,C14-D15-E15)</f>
        <v>668187</v>
      </c>
      <c r="E16" s="19">
        <f t="shared" ref="E16" si="2">IF(D16&gt;=250000,250000,D16)</f>
        <v>250000</v>
      </c>
      <c r="F16" s="10"/>
      <c r="G16" s="9" t="s">
        <v>464</v>
      </c>
      <c r="H16" s="26">
        <v>0.05</v>
      </c>
      <c r="I16" s="27">
        <f t="shared" si="1"/>
        <v>20000</v>
      </c>
      <c r="J16" s="197">
        <f>IF((I14-J15-K15)&lt;=0,0,I14-J15-K15)</f>
        <v>870587</v>
      </c>
      <c r="K16" s="19">
        <f t="shared" ref="K16:K21" si="3">IF(J16&gt;=400000,400000,J16)</f>
        <v>400000</v>
      </c>
      <c r="L16" s="70">
        <v>60000</v>
      </c>
      <c r="N16" s="204" t="s">
        <v>459</v>
      </c>
      <c r="O16" s="203"/>
      <c r="P16" s="131">
        <f>SUM(P13:P15)</f>
        <v>96137.400000000009</v>
      </c>
      <c r="Q16" s="70"/>
      <c r="R16" s="70"/>
      <c r="S16" s="70"/>
    </row>
    <row r="17" spans="1:16" ht="21.9" customHeight="1" x14ac:dyDescent="0.3">
      <c r="A17" s="9" t="s">
        <v>453</v>
      </c>
      <c r="B17" s="26">
        <v>0.2</v>
      </c>
      <c r="C17" s="27">
        <f t="shared" si="0"/>
        <v>83637.400000000009</v>
      </c>
      <c r="D17" s="15">
        <f>IF((C14-D15-E15-E16)&lt;=0,0,C14-D15-E15-E16)</f>
        <v>418187</v>
      </c>
      <c r="E17" s="19">
        <f>IF(D17&gt;=500000,500000,D17)</f>
        <v>418187</v>
      </c>
      <c r="F17" s="10"/>
      <c r="G17" s="9" t="s">
        <v>465</v>
      </c>
      <c r="H17" s="26">
        <v>0.1</v>
      </c>
      <c r="I17" s="27">
        <f t="shared" si="1"/>
        <v>40000</v>
      </c>
      <c r="J17" s="15">
        <f>ROUNDDOWN(IF((I14-J15-K15-K16)&lt;=0,0,I14-J15-K15-K16),2)</f>
        <v>470587</v>
      </c>
      <c r="K17" s="19">
        <f t="shared" si="3"/>
        <v>400000</v>
      </c>
      <c r="L17" s="186">
        <f>I24</f>
        <v>70588.05</v>
      </c>
    </row>
    <row r="18" spans="1:16" ht="21.9" customHeight="1" x14ac:dyDescent="0.3">
      <c r="A18" s="9" t="s">
        <v>454</v>
      </c>
      <c r="B18" s="26">
        <v>0.3</v>
      </c>
      <c r="C18" s="27">
        <f t="shared" si="0"/>
        <v>0</v>
      </c>
      <c r="D18" s="15">
        <f>IF((C14-D15-E15-E16-E17)&lt;=0,0,C14-D15-E15-E16-E17)</f>
        <v>0</v>
      </c>
      <c r="E18" s="19">
        <f>IF(D18&gt;=500000,500000,D18)</f>
        <v>0</v>
      </c>
      <c r="F18" s="10"/>
      <c r="G18" s="9" t="s">
        <v>466</v>
      </c>
      <c r="H18" s="26">
        <v>0.15</v>
      </c>
      <c r="I18" s="27">
        <f t="shared" si="1"/>
        <v>10588.05</v>
      </c>
      <c r="J18" s="15">
        <f>IF((I14-J15-K15-K16-K17)&lt;=0,0,I14-J15-K15-K16-K17)</f>
        <v>70587</v>
      </c>
      <c r="K18" s="19">
        <f t="shared" si="3"/>
        <v>70587</v>
      </c>
      <c r="L18" s="206">
        <f>I14-L14</f>
        <v>70587</v>
      </c>
    </row>
    <row r="19" spans="1:16" ht="21.9" customHeight="1" x14ac:dyDescent="0.3">
      <c r="A19" s="9"/>
      <c r="B19" s="26"/>
      <c r="C19" s="27"/>
      <c r="D19" s="15"/>
      <c r="E19" s="19"/>
      <c r="F19" s="10"/>
      <c r="G19" s="9" t="s">
        <v>467</v>
      </c>
      <c r="H19" s="26">
        <v>0.2</v>
      </c>
      <c r="I19" s="27">
        <f t="shared" si="1"/>
        <v>0</v>
      </c>
      <c r="J19" s="15">
        <f>IF((I14-J15-K15-K16-K17-K18)&lt;=0,0,I14-J15-K15-K16-K17-K18)</f>
        <v>0</v>
      </c>
      <c r="K19" s="19">
        <f t="shared" si="3"/>
        <v>0</v>
      </c>
      <c r="L19" s="206">
        <f>L17-L18</f>
        <v>1.0500000000029104</v>
      </c>
    </row>
    <row r="20" spans="1:16" ht="21.9" customHeight="1" x14ac:dyDescent="0.3">
      <c r="A20" s="9"/>
      <c r="B20" s="26"/>
      <c r="C20" s="27"/>
      <c r="D20" s="15"/>
      <c r="E20" s="19"/>
      <c r="F20" s="10"/>
      <c r="G20" s="9" t="s">
        <v>468</v>
      </c>
      <c r="H20" s="26">
        <v>0.25</v>
      </c>
      <c r="I20" s="27">
        <f t="shared" si="1"/>
        <v>0</v>
      </c>
      <c r="J20" s="15">
        <f>IF((I14-J15-K15-K16-K17-K18-K19)&lt;=0,0,I14-J15-K15-K16-K17-K18-K19)</f>
        <v>0</v>
      </c>
      <c r="K20" s="19">
        <f t="shared" si="3"/>
        <v>0</v>
      </c>
      <c r="L20" t="s">
        <v>476</v>
      </c>
    </row>
    <row r="21" spans="1:16" ht="21.9" customHeight="1" x14ac:dyDescent="0.3">
      <c r="A21" s="9"/>
      <c r="B21" s="26"/>
      <c r="C21" s="27"/>
      <c r="D21" s="15"/>
      <c r="E21" s="19"/>
      <c r="F21" s="10"/>
      <c r="G21" s="9" t="s">
        <v>469</v>
      </c>
      <c r="H21" s="26">
        <v>0.3</v>
      </c>
      <c r="I21" s="27">
        <f t="shared" si="1"/>
        <v>0</v>
      </c>
      <c r="J21" s="15">
        <f>IF((I14-J15-K15-K16-K17-K18-K19-K20)&lt;=0,0,I14-J15-K15-K16-K17-K18-K19-K20)</f>
        <v>0</v>
      </c>
      <c r="K21" s="19">
        <f t="shared" si="3"/>
        <v>0</v>
      </c>
    </row>
    <row r="22" spans="1:16" ht="21.9" customHeight="1" x14ac:dyDescent="0.3">
      <c r="A22" s="129" t="s">
        <v>342</v>
      </c>
      <c r="B22" s="26">
        <v>0.2</v>
      </c>
      <c r="C22" s="27">
        <f t="shared" si="0"/>
        <v>0</v>
      </c>
      <c r="D22" s="15"/>
      <c r="E22" s="19">
        <f>INPUT!J34</f>
        <v>0</v>
      </c>
      <c r="F22" s="10"/>
      <c r="G22" s="129" t="s">
        <v>342</v>
      </c>
      <c r="H22" s="26">
        <v>0.2</v>
      </c>
      <c r="I22" s="27">
        <f>C22</f>
        <v>0</v>
      </c>
      <c r="J22" s="15">
        <f>IF((I14-K15-K16-K17-K18-K19-K21)&lt;=0,0,I14-K15-K16-K17-K18-K19-K21)</f>
        <v>0</v>
      </c>
      <c r="K22" s="19">
        <f>IF(J22&gt;=250000,250000,J22)-INPUT!J35</f>
        <v>0</v>
      </c>
    </row>
    <row r="23" spans="1:16" ht="21.9" customHeight="1" x14ac:dyDescent="0.3">
      <c r="A23" s="129" t="s">
        <v>344</v>
      </c>
      <c r="B23" s="200">
        <v>0.125</v>
      </c>
      <c r="C23" s="27">
        <f>D23*B23</f>
        <v>0</v>
      </c>
      <c r="D23" s="15">
        <f>IF(E23&gt;100000,E23-100000,0)</f>
        <v>0</v>
      </c>
      <c r="E23" s="19">
        <f>INPUT!J35</f>
        <v>0</v>
      </c>
      <c r="F23" s="10"/>
      <c r="G23" s="129" t="s">
        <v>456</v>
      </c>
      <c r="H23" s="200">
        <v>0.125</v>
      </c>
      <c r="I23" s="27">
        <f>C23</f>
        <v>0</v>
      </c>
      <c r="J23" s="14"/>
      <c r="K23" s="19">
        <f>INPUT!J35</f>
        <v>0</v>
      </c>
      <c r="M23" s="185" t="s">
        <v>452</v>
      </c>
      <c r="N23" s="198"/>
      <c r="O23" s="198"/>
    </row>
    <row r="24" spans="1:16" ht="21.9" customHeight="1" x14ac:dyDescent="0.3">
      <c r="A24" s="241" t="s">
        <v>475</v>
      </c>
      <c r="B24" s="242"/>
      <c r="C24" s="93">
        <f>SUM(C15:C23)</f>
        <v>96137.400000000009</v>
      </c>
      <c r="D24" s="10"/>
      <c r="E24" s="10"/>
      <c r="F24" s="10"/>
      <c r="G24" s="241" t="s">
        <v>475</v>
      </c>
      <c r="H24" s="242"/>
      <c r="I24" s="93">
        <f>SUM(I15:I23)</f>
        <v>70588.05</v>
      </c>
      <c r="M24" s="185">
        <f>IF(I24&lt;=C24,I24,C24)</f>
        <v>70588.05</v>
      </c>
      <c r="N24" s="198"/>
      <c r="O24" s="198"/>
    </row>
    <row r="25" spans="1:16" ht="21.9" customHeight="1" x14ac:dyDescent="0.3">
      <c r="A25" s="241" t="s">
        <v>352</v>
      </c>
      <c r="B25" s="242"/>
      <c r="C25" s="93">
        <f>IF(C14&gt;500000,0,IF((C16+C22)&gt;=12500,12500,(C16+C22)))</f>
        <v>0</v>
      </c>
      <c r="D25" s="10"/>
      <c r="E25" s="10"/>
      <c r="F25" s="10"/>
      <c r="G25" s="241" t="s">
        <v>470</v>
      </c>
      <c r="H25" s="242"/>
      <c r="I25" s="93">
        <f>IF(I14&gt;1200000,0,IF(L17&lt;=L16,L17,0))</f>
        <v>0</v>
      </c>
      <c r="J25" s="10"/>
      <c r="M25" s="185">
        <f>IF(I29&lt;=C29,I25,C25)</f>
        <v>0</v>
      </c>
      <c r="N25" s="198"/>
      <c r="O25" s="198"/>
    </row>
    <row r="26" spans="1:16" ht="21.9" customHeight="1" x14ac:dyDescent="0.3">
      <c r="A26" s="241" t="s">
        <v>471</v>
      </c>
      <c r="B26" s="242"/>
      <c r="C26" s="93">
        <v>0</v>
      </c>
      <c r="G26" s="241" t="s">
        <v>473</v>
      </c>
      <c r="H26" s="242"/>
      <c r="I26" s="27">
        <f>IF(L19&lt;=0,0,IF(I14&lt;=L14,0,ROUND(I24-(I14-L14),0)))</f>
        <v>1</v>
      </c>
      <c r="J26" s="10"/>
      <c r="M26" s="185">
        <f>IF(I29&lt;=C29,I26,C26)</f>
        <v>1</v>
      </c>
      <c r="N26" s="31"/>
      <c r="O26" s="31"/>
      <c r="P26" s="31"/>
    </row>
    <row r="27" spans="1:16" ht="21.9" customHeight="1" x14ac:dyDescent="0.3">
      <c r="A27" s="201" t="s">
        <v>474</v>
      </c>
      <c r="B27" s="202"/>
      <c r="C27" s="27">
        <f>C24-C25-C26</f>
        <v>96137.400000000009</v>
      </c>
      <c r="G27" s="201" t="s">
        <v>474</v>
      </c>
      <c r="H27" s="202"/>
      <c r="I27" s="27">
        <f>I24-I25-I26</f>
        <v>70587.05</v>
      </c>
      <c r="J27" s="10"/>
      <c r="M27" s="205"/>
      <c r="N27" s="31"/>
      <c r="O27" s="31"/>
      <c r="P27" s="31"/>
    </row>
    <row r="28" spans="1:16" ht="21.9" customHeight="1" x14ac:dyDescent="0.3">
      <c r="A28" s="241" t="s">
        <v>267</v>
      </c>
      <c r="B28" s="242"/>
      <c r="C28" s="93">
        <f>IF(C27&gt;0,ROUND(C27*0.04,0),0)</f>
        <v>3845</v>
      </c>
      <c r="G28" s="241" t="s">
        <v>267</v>
      </c>
      <c r="H28" s="242"/>
      <c r="I28" s="93">
        <f>IF(I27&gt;0,ROUND(I27*0.04,0),0)</f>
        <v>2823</v>
      </c>
      <c r="J28" s="10"/>
      <c r="M28" s="185">
        <f>IF(I31&lt;=C31,I28,C28)</f>
        <v>2823</v>
      </c>
      <c r="N28" s="31"/>
      <c r="O28" s="31"/>
      <c r="P28" s="31"/>
    </row>
    <row r="29" spans="1:16" ht="21.9" customHeight="1" x14ac:dyDescent="0.3">
      <c r="A29" s="239" t="s">
        <v>256</v>
      </c>
      <c r="B29" s="240"/>
      <c r="C29" s="94">
        <f>ROUND(C24-C25+C28,0)</f>
        <v>99982</v>
      </c>
      <c r="G29" s="239" t="s">
        <v>256</v>
      </c>
      <c r="H29" s="240"/>
      <c r="I29" s="94">
        <f>ROUND(I27+I28,0)</f>
        <v>73410</v>
      </c>
      <c r="M29" s="205"/>
      <c r="N29" s="31"/>
      <c r="O29" s="31"/>
      <c r="P29" s="31"/>
    </row>
    <row r="30" spans="1:16" ht="21.9" customHeight="1" x14ac:dyDescent="0.3">
      <c r="A30" s="238" t="s">
        <v>278</v>
      </c>
      <c r="B30" s="238"/>
      <c r="C30" s="238"/>
      <c r="D30" s="208"/>
      <c r="E30" s="208"/>
      <c r="F30" s="208"/>
      <c r="G30" s="238" t="s">
        <v>462</v>
      </c>
      <c r="H30" s="238"/>
      <c r="I30" s="238"/>
      <c r="M30" s="205"/>
      <c r="N30" s="31"/>
      <c r="O30" s="31"/>
      <c r="P30" s="31"/>
    </row>
    <row r="31" spans="1:16" ht="21.9" customHeight="1" x14ac:dyDescent="0.3">
      <c r="A31" s="247" t="str">
        <f>IF(C4=0,"",IF(C29&lt;=I29,"OLD REGIME IS SUGGESTED FOR YOU","NEW REGIME IS SUGGESTED FOR YOU"))</f>
        <v>NEW REGIME IS SUGGESTED FOR YOU</v>
      </c>
      <c r="B31" s="248"/>
      <c r="C31" s="248"/>
      <c r="D31" s="248"/>
      <c r="E31" s="248"/>
      <c r="F31" s="248"/>
      <c r="G31" s="248"/>
      <c r="H31" s="248"/>
      <c r="I31" s="249"/>
      <c r="M31" s="31"/>
      <c r="N31" s="31"/>
      <c r="O31" s="31"/>
      <c r="P31" s="31"/>
    </row>
    <row r="32" spans="1:16" ht="21.9" hidden="1" customHeight="1" x14ac:dyDescent="0.3">
      <c r="A32" s="245" t="s">
        <v>450</v>
      </c>
      <c r="B32" s="246"/>
      <c r="C32" s="183">
        <f>INPUT!G79</f>
        <v>0</v>
      </c>
      <c r="D32" s="187"/>
      <c r="E32" s="187"/>
      <c r="F32" s="194" t="str">
        <f>IF(C29=I29,"",IF(C29&gt;I29,"N",A3))</f>
        <v>N</v>
      </c>
      <c r="G32" s="245" t="s">
        <v>451</v>
      </c>
      <c r="H32" s="246"/>
      <c r="I32" s="184">
        <f>ROUND(M29-C32,-1)</f>
        <v>0</v>
      </c>
      <c r="M32" s="31"/>
      <c r="N32" s="31"/>
      <c r="O32" s="31"/>
      <c r="P32" s="31"/>
    </row>
    <row r="33" spans="1:16" ht="10.8" customHeight="1" x14ac:dyDescent="0.3">
      <c r="D33" s="188"/>
      <c r="E33" s="188"/>
      <c r="F33" s="189"/>
      <c r="M33" s="31"/>
      <c r="N33" s="31"/>
      <c r="O33" s="31"/>
      <c r="P33" s="31"/>
    </row>
    <row r="34" spans="1:16" x14ac:dyDescent="0.3">
      <c r="A34" s="251" t="str">
        <f>IF(A35="","","N.B.: CAPITAL GAIN CALCULATION IS VALID ONLY IF GROSS SALARY IS &gt;= 2,50,000")</f>
        <v/>
      </c>
      <c r="B34" s="251"/>
      <c r="C34" s="251"/>
      <c r="D34" s="251"/>
      <c r="E34" s="251"/>
      <c r="F34" s="251"/>
      <c r="G34" s="251"/>
      <c r="H34" s="251"/>
      <c r="I34" s="251"/>
      <c r="M34" s="31"/>
      <c r="N34" s="31"/>
      <c r="O34" s="31"/>
      <c r="P34" s="31"/>
    </row>
    <row r="35" spans="1:16" hidden="1" x14ac:dyDescent="0.3">
      <c r="A35" s="252" t="str">
        <f>IF(C4=0,"",IF(C4&lt;250000,"SORRY CAPITAL GAIN CALCULATION IS NOT VALID",""))</f>
        <v/>
      </c>
      <c r="B35" s="252"/>
      <c r="C35" s="252"/>
      <c r="D35" s="252"/>
      <c r="E35" s="252"/>
      <c r="F35" s="252"/>
      <c r="G35" s="252"/>
      <c r="H35" s="252"/>
      <c r="I35" s="252"/>
    </row>
    <row r="43" spans="1:16" x14ac:dyDescent="0.3"/>
    <row r="44" spans="1:16" x14ac:dyDescent="0.3"/>
  </sheetData>
  <sheetProtection algorithmName="SHA-512" hashValue="WCJ3xLKS+R60JQz4hpnDCrImg8CUzrHDbrbiD/BV+GSQXxRG5b+FZylFnlSPOgshf44YUumXb4Ds+58tcPBtFw==" saltValue="Rx7ioQo5avPE2HhfDzh/TQ==" spinCount="100000" sheet="1" objects="1" scenarios="1"/>
  <mergeCells count="43">
    <mergeCell ref="A31:I31"/>
    <mergeCell ref="A32:B32"/>
    <mergeCell ref="G32:H32"/>
    <mergeCell ref="A34:I34"/>
    <mergeCell ref="A35:I35"/>
    <mergeCell ref="A28:B28"/>
    <mergeCell ref="G28:H28"/>
    <mergeCell ref="A29:B29"/>
    <mergeCell ref="G29:H29"/>
    <mergeCell ref="A30:C30"/>
    <mergeCell ref="G30:I30"/>
    <mergeCell ref="A24:B24"/>
    <mergeCell ref="G24:H24"/>
    <mergeCell ref="A25:B25"/>
    <mergeCell ref="G25:H25"/>
    <mergeCell ref="A26:B26"/>
    <mergeCell ref="G26:H26"/>
    <mergeCell ref="N11:P11"/>
    <mergeCell ref="A12:B12"/>
    <mergeCell ref="G12:H12"/>
    <mergeCell ref="A13:B13"/>
    <mergeCell ref="G13:H13"/>
    <mergeCell ref="A14:B14"/>
    <mergeCell ref="G14:H14"/>
    <mergeCell ref="A9:B9"/>
    <mergeCell ref="G9:H9"/>
    <mergeCell ref="A10:B10"/>
    <mergeCell ref="G10:H10"/>
    <mergeCell ref="A11:B11"/>
    <mergeCell ref="G11:H11"/>
    <mergeCell ref="A6:B6"/>
    <mergeCell ref="G6:H6"/>
    <mergeCell ref="A7:B7"/>
    <mergeCell ref="G7:H7"/>
    <mergeCell ref="A8:B8"/>
    <mergeCell ref="G8:H8"/>
    <mergeCell ref="A5:B5"/>
    <mergeCell ref="G5:H5"/>
    <mergeCell ref="A1:I1"/>
    <mergeCell ref="A3:C3"/>
    <mergeCell ref="G3:I3"/>
    <mergeCell ref="A4:B4"/>
    <mergeCell ref="G4:H4"/>
  </mergeCells>
  <conditionalFormatting sqref="A35:I35">
    <cfRule type="notContainsBlanks" dxfId="0" priority="1">
      <formula>LEN(TRIM(A35))&gt;0</formula>
    </cfRule>
  </conditionalFormatting>
  <printOptions horizontalCentered="1"/>
  <pageMargins left="0.33" right="0.26"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5"/>
  <sheetViews>
    <sheetView showGridLines="0" workbookViewId="0">
      <selection activeCell="M14" sqref="M14"/>
    </sheetView>
  </sheetViews>
  <sheetFormatPr defaultRowHeight="14.4" x14ac:dyDescent="0.3"/>
  <cols>
    <col min="18" max="21" width="0" hidden="1" customWidth="1"/>
  </cols>
  <sheetData>
    <row r="1" spans="1:21" x14ac:dyDescent="0.3">
      <c r="A1" s="318" t="s">
        <v>13</v>
      </c>
      <c r="B1" s="319"/>
      <c r="C1" s="319"/>
      <c r="D1" s="319"/>
      <c r="E1" s="319"/>
      <c r="F1" s="319"/>
      <c r="G1" s="319"/>
      <c r="H1" s="319"/>
      <c r="I1" s="319"/>
      <c r="J1" s="319"/>
      <c r="K1" s="319"/>
      <c r="L1" s="319"/>
      <c r="M1" s="319"/>
      <c r="N1" s="319"/>
      <c r="O1" s="319"/>
      <c r="P1" s="320"/>
      <c r="Q1" t="s">
        <v>445</v>
      </c>
      <c r="S1" t="s">
        <v>93</v>
      </c>
      <c r="T1" t="s">
        <v>92</v>
      </c>
    </row>
    <row r="2" spans="1:21" x14ac:dyDescent="0.3">
      <c r="A2" s="30" t="s">
        <v>6</v>
      </c>
      <c r="B2" s="321" t="s">
        <v>7</v>
      </c>
      <c r="C2" s="322"/>
      <c r="D2" s="321" t="s">
        <v>8</v>
      </c>
      <c r="E2" s="323"/>
      <c r="F2" s="323"/>
      <c r="G2" s="323"/>
      <c r="H2" s="322"/>
      <c r="I2" s="321" t="s">
        <v>9</v>
      </c>
      <c r="J2" s="323"/>
      <c r="K2" s="323"/>
      <c r="L2" s="322"/>
      <c r="M2" s="321" t="s">
        <v>10</v>
      </c>
      <c r="N2" s="323"/>
      <c r="O2" s="322"/>
      <c r="P2" s="1" t="s">
        <v>11</v>
      </c>
      <c r="R2" t="s">
        <v>82</v>
      </c>
      <c r="S2">
        <f>INPUT!B67</f>
        <v>0</v>
      </c>
      <c r="T2">
        <f>INPUT!B72</f>
        <v>0</v>
      </c>
    </row>
    <row r="3" spans="1:21" x14ac:dyDescent="0.3">
      <c r="A3" s="3" t="s">
        <v>3</v>
      </c>
      <c r="B3" s="3">
        <v>1700</v>
      </c>
      <c r="C3" s="3">
        <v>1800</v>
      </c>
      <c r="D3" s="3">
        <v>1900</v>
      </c>
      <c r="E3" s="3">
        <v>2100</v>
      </c>
      <c r="F3" s="3">
        <v>2300</v>
      </c>
      <c r="G3" s="3">
        <v>2600</v>
      </c>
      <c r="H3" s="3">
        <v>2900</v>
      </c>
      <c r="I3" s="3">
        <v>3200</v>
      </c>
      <c r="J3" s="3">
        <v>3600</v>
      </c>
      <c r="K3" s="3">
        <v>3900</v>
      </c>
      <c r="L3" s="3">
        <v>4100</v>
      </c>
      <c r="M3" s="3">
        <v>4400</v>
      </c>
      <c r="N3" s="3">
        <v>4700</v>
      </c>
      <c r="O3" s="3">
        <v>4800</v>
      </c>
      <c r="P3" s="3">
        <v>5400</v>
      </c>
      <c r="R3" t="s">
        <v>99</v>
      </c>
      <c r="S3" s="21">
        <f>S2+IF(MOD(S2*0.03,100)&gt;=50,S2*0.03-MOD(S2*0.03,100)+100,S2*0.03-MOD(S2*0.03,100))</f>
        <v>0</v>
      </c>
    </row>
    <row r="4" spans="1:21" x14ac:dyDescent="0.3">
      <c r="A4" s="30" t="s">
        <v>4</v>
      </c>
      <c r="B4" s="30">
        <v>6600</v>
      </c>
      <c r="C4" s="30">
        <v>6830</v>
      </c>
      <c r="D4" s="30">
        <v>7300</v>
      </c>
      <c r="E4" s="30">
        <v>7680</v>
      </c>
      <c r="F4" s="30">
        <v>8160</v>
      </c>
      <c r="G4" s="30">
        <v>8840</v>
      </c>
      <c r="H4" s="30">
        <v>9600</v>
      </c>
      <c r="I4" s="30">
        <v>10300</v>
      </c>
      <c r="J4" s="30">
        <v>11040</v>
      </c>
      <c r="K4" s="30">
        <v>12270</v>
      </c>
      <c r="L4" s="30">
        <v>12750</v>
      </c>
      <c r="M4" s="30">
        <v>13400</v>
      </c>
      <c r="N4" s="30">
        <v>14930</v>
      </c>
      <c r="O4" s="30">
        <v>15960</v>
      </c>
      <c r="P4" s="30">
        <v>21000</v>
      </c>
      <c r="R4" t="s">
        <v>97</v>
      </c>
      <c r="S4">
        <f>INPUT!D9</f>
        <v>0</v>
      </c>
      <c r="T4">
        <f>INPUT!D17</f>
        <v>0</v>
      </c>
    </row>
    <row r="5" spans="1:21" x14ac:dyDescent="0.3">
      <c r="A5" s="6" t="s">
        <v>12</v>
      </c>
      <c r="B5" s="4">
        <v>2.57</v>
      </c>
      <c r="C5" s="4">
        <v>2.57</v>
      </c>
      <c r="D5" s="4">
        <v>2.57</v>
      </c>
      <c r="E5" s="4">
        <v>2.57</v>
      </c>
      <c r="F5" s="4">
        <v>2.57</v>
      </c>
      <c r="G5" s="4">
        <v>2.57</v>
      </c>
      <c r="H5" s="4">
        <v>2.57</v>
      </c>
      <c r="I5" s="5">
        <v>2.62</v>
      </c>
      <c r="J5" s="5">
        <v>2.62</v>
      </c>
      <c r="K5" s="5">
        <v>2.62</v>
      </c>
      <c r="L5" s="5">
        <v>2.62</v>
      </c>
      <c r="M5" s="6">
        <v>2.67</v>
      </c>
      <c r="N5" s="6">
        <v>2.67</v>
      </c>
      <c r="O5" s="6">
        <v>2.67</v>
      </c>
      <c r="P5" s="6">
        <v>2.67</v>
      </c>
      <c r="R5" t="s">
        <v>83</v>
      </c>
      <c r="S5">
        <f>IF(S4=1,C43,IF(S4=2,D43,IF(S4=3,E43,IF(S4=4,F43,IF(S4=5,G43,IF(S4=6,H43,IF(S4=7,I43,IF(S4=8,J43,IF(S4=9,K43,IF(S4=10,L43,IF(S4=11,M43,S2)))))))))))</f>
        <v>0</v>
      </c>
      <c r="T5">
        <f>IF(T4=2,C42,IF(T4=3,D42,IF(T4=4,E42,IF(T4=5,F42,IF(T4=6,G42,IF(T4=7,H42,IF(T4=8,I42,IF(T4=9,J42,IF(T4=10,K42,IF(T4=11,L42,IF(T4=12,M42,IF(T4=14,N42,IF(T4=15,O42,IF(T4=16,P42,0))))))))))))))</f>
        <v>0</v>
      </c>
    </row>
    <row r="6" spans="1:21" x14ac:dyDescent="0.3">
      <c r="A6" s="2" t="s">
        <v>5</v>
      </c>
      <c r="B6" s="2">
        <v>1</v>
      </c>
      <c r="C6" s="13">
        <v>2</v>
      </c>
      <c r="D6" s="13">
        <v>3</v>
      </c>
      <c r="E6" s="13">
        <v>4</v>
      </c>
      <c r="F6" s="2">
        <v>5</v>
      </c>
      <c r="G6" s="2">
        <v>6</v>
      </c>
      <c r="H6" s="13">
        <v>7</v>
      </c>
      <c r="I6" s="13">
        <v>8</v>
      </c>
      <c r="J6" s="13">
        <v>9</v>
      </c>
      <c r="K6" s="2">
        <v>10</v>
      </c>
      <c r="L6" s="2">
        <v>11</v>
      </c>
      <c r="M6" s="2">
        <v>12</v>
      </c>
      <c r="N6" s="2">
        <v>14</v>
      </c>
      <c r="O6" s="2">
        <v>15</v>
      </c>
      <c r="P6" s="2">
        <v>16</v>
      </c>
      <c r="U6">
        <f>INPUT!D9</f>
        <v>0</v>
      </c>
    </row>
    <row r="7" spans="1:21" x14ac:dyDescent="0.3">
      <c r="A7" s="30">
        <v>1</v>
      </c>
      <c r="B7" s="30">
        <f>IF(MOD(B5*B4,100)&gt;=50,B5*B4-MOD(B5*B4,100)+100,B5*B4-MOD(B5*B4,100))</f>
        <v>17000</v>
      </c>
      <c r="C7" s="30">
        <f t="shared" ref="C7:P7" si="0">IF(MOD(C5*C4,100)&gt;=50,C5*C4-MOD(C5*C4,100)+100,C5*C4-MOD(C5*C4,100))</f>
        <v>17600</v>
      </c>
      <c r="D7" s="30">
        <f t="shared" si="0"/>
        <v>18800</v>
      </c>
      <c r="E7" s="30">
        <f t="shared" si="0"/>
        <v>19700</v>
      </c>
      <c r="F7" s="30">
        <f>IF(MOD(F5*F4,100)&gt;=50,F5*F4-MOD(F5*F4,100)+100,F5*F4-MOD(F5*F4,100))</f>
        <v>21000</v>
      </c>
      <c r="G7" s="30">
        <f t="shared" si="0"/>
        <v>22700</v>
      </c>
      <c r="H7" s="30">
        <f>IF(MOD(H5*H4,100)&gt;=50,H5*H4-MOD(H5*H4,100)+100,H5*H4-MOD(H5*H4,100))</f>
        <v>24700</v>
      </c>
      <c r="I7" s="30">
        <f t="shared" si="0"/>
        <v>27000</v>
      </c>
      <c r="J7" s="30">
        <f t="shared" si="0"/>
        <v>28900</v>
      </c>
      <c r="K7" s="30">
        <f t="shared" si="0"/>
        <v>32100</v>
      </c>
      <c r="L7" s="30">
        <f t="shared" si="0"/>
        <v>33400</v>
      </c>
      <c r="M7" s="30">
        <f t="shared" si="0"/>
        <v>35800</v>
      </c>
      <c r="N7" s="30">
        <f t="shared" si="0"/>
        <v>39900</v>
      </c>
      <c r="O7" s="30">
        <f t="shared" si="0"/>
        <v>42600</v>
      </c>
      <c r="P7" s="30">
        <f t="shared" si="0"/>
        <v>56100</v>
      </c>
      <c r="U7" t="e">
        <f>INDEX(B7:P7,MATCH(U6,B6:P6,0))</f>
        <v>#N/A</v>
      </c>
    </row>
    <row r="8" spans="1:21" x14ac:dyDescent="0.3">
      <c r="A8" s="30">
        <v>2</v>
      </c>
      <c r="B8" s="30">
        <f>B7+IF(MOD(B7*0.03,100)&gt;=50,B7*0.03-MOD(B7*0.03,100)+100,B7*0.03-MOD(B7*0.03,100))</f>
        <v>17500</v>
      </c>
      <c r="C8" s="30">
        <f t="shared" ref="C8:P23" si="1">C7+IF(MOD(C7*0.03,100)&gt;=50,C7*0.03-MOD(C7*0.03,100)+100,C7*0.03-MOD(C7*0.03,100))</f>
        <v>18100</v>
      </c>
      <c r="D8" s="30">
        <f t="shared" si="1"/>
        <v>19400</v>
      </c>
      <c r="E8" s="30">
        <f t="shared" si="1"/>
        <v>20300</v>
      </c>
      <c r="F8" s="30">
        <f t="shared" si="1"/>
        <v>21600</v>
      </c>
      <c r="G8" s="30">
        <f t="shared" si="1"/>
        <v>23400</v>
      </c>
      <c r="H8" s="30">
        <f t="shared" si="1"/>
        <v>25400</v>
      </c>
      <c r="I8" s="30">
        <f t="shared" si="1"/>
        <v>27800</v>
      </c>
      <c r="J8" s="30">
        <f t="shared" si="1"/>
        <v>29800</v>
      </c>
      <c r="K8" s="30">
        <f t="shared" si="1"/>
        <v>33100</v>
      </c>
      <c r="L8" s="30">
        <f t="shared" si="1"/>
        <v>34400</v>
      </c>
      <c r="M8" s="30">
        <f t="shared" si="1"/>
        <v>36900</v>
      </c>
      <c r="N8" s="30">
        <f t="shared" si="1"/>
        <v>41100</v>
      </c>
      <c r="O8" s="30">
        <f t="shared" si="1"/>
        <v>43900</v>
      </c>
      <c r="P8" s="30">
        <f t="shared" si="1"/>
        <v>57800</v>
      </c>
      <c r="U8" t="e">
        <f t="shared" ref="U8:U39" si="2">INDEX(B8:P8,MATCH(U7,B7:P7,0))</f>
        <v>#N/A</v>
      </c>
    </row>
    <row r="9" spans="1:21" x14ac:dyDescent="0.3">
      <c r="A9" s="30">
        <v>3</v>
      </c>
      <c r="B9" s="30">
        <f t="shared" ref="B9:P24" si="3">B8+IF(MOD(B8*0.03,100)&gt;=50,B8*0.03-MOD(B8*0.03,100)+100,B8*0.03-MOD(B8*0.03,100))</f>
        <v>18000</v>
      </c>
      <c r="C9" s="30">
        <f t="shared" si="1"/>
        <v>18600</v>
      </c>
      <c r="D9" s="30">
        <f t="shared" si="1"/>
        <v>20000</v>
      </c>
      <c r="E9" s="30">
        <f t="shared" si="1"/>
        <v>20900</v>
      </c>
      <c r="F9" s="30">
        <f t="shared" si="1"/>
        <v>22200</v>
      </c>
      <c r="G9" s="30">
        <f t="shared" si="1"/>
        <v>24100</v>
      </c>
      <c r="H9" s="30">
        <f t="shared" si="1"/>
        <v>26200</v>
      </c>
      <c r="I9" s="30">
        <f t="shared" si="1"/>
        <v>28600</v>
      </c>
      <c r="J9" s="30">
        <f t="shared" si="1"/>
        <v>30700</v>
      </c>
      <c r="K9" s="30">
        <f t="shared" si="1"/>
        <v>34100</v>
      </c>
      <c r="L9" s="30">
        <f t="shared" si="1"/>
        <v>35400</v>
      </c>
      <c r="M9" s="30">
        <f t="shared" si="1"/>
        <v>38000</v>
      </c>
      <c r="N9" s="30">
        <f t="shared" si="1"/>
        <v>42300</v>
      </c>
      <c r="O9" s="30">
        <f t="shared" si="1"/>
        <v>45200</v>
      </c>
      <c r="P9" s="30">
        <f t="shared" si="1"/>
        <v>59500</v>
      </c>
      <c r="U9" t="e">
        <f t="shared" si="2"/>
        <v>#N/A</v>
      </c>
    </row>
    <row r="10" spans="1:21" x14ac:dyDescent="0.3">
      <c r="A10" s="30">
        <v>4</v>
      </c>
      <c r="B10" s="30">
        <f t="shared" si="3"/>
        <v>18500</v>
      </c>
      <c r="C10" s="30">
        <f t="shared" si="1"/>
        <v>19200</v>
      </c>
      <c r="D10" s="30">
        <f t="shared" si="1"/>
        <v>20600</v>
      </c>
      <c r="E10" s="30">
        <f t="shared" si="1"/>
        <v>21500</v>
      </c>
      <c r="F10" s="30">
        <f t="shared" si="1"/>
        <v>22900</v>
      </c>
      <c r="G10" s="30">
        <f t="shared" si="1"/>
        <v>24800</v>
      </c>
      <c r="H10" s="30">
        <f t="shared" si="1"/>
        <v>27000</v>
      </c>
      <c r="I10" s="30">
        <f t="shared" si="1"/>
        <v>29500</v>
      </c>
      <c r="J10" s="30">
        <f t="shared" si="1"/>
        <v>31600</v>
      </c>
      <c r="K10" s="30">
        <f t="shared" si="1"/>
        <v>35100</v>
      </c>
      <c r="L10" s="30">
        <f t="shared" si="1"/>
        <v>36500</v>
      </c>
      <c r="M10" s="30">
        <f t="shared" si="1"/>
        <v>39100</v>
      </c>
      <c r="N10" s="30">
        <f t="shared" si="1"/>
        <v>43600</v>
      </c>
      <c r="O10" s="30">
        <f t="shared" si="1"/>
        <v>46600</v>
      </c>
      <c r="P10" s="30">
        <f t="shared" si="1"/>
        <v>61300</v>
      </c>
      <c r="U10" t="e">
        <f t="shared" si="2"/>
        <v>#N/A</v>
      </c>
    </row>
    <row r="11" spans="1:21" x14ac:dyDescent="0.3">
      <c r="A11" s="30">
        <v>5</v>
      </c>
      <c r="B11" s="30">
        <f t="shared" si="3"/>
        <v>19100</v>
      </c>
      <c r="C11" s="30">
        <f t="shared" si="1"/>
        <v>19800</v>
      </c>
      <c r="D11" s="30">
        <f t="shared" si="1"/>
        <v>21200</v>
      </c>
      <c r="E11" s="30">
        <f t="shared" si="1"/>
        <v>22100</v>
      </c>
      <c r="F11" s="30">
        <f t="shared" si="1"/>
        <v>23600</v>
      </c>
      <c r="G11" s="30">
        <f t="shared" si="1"/>
        <v>25500</v>
      </c>
      <c r="H11" s="30">
        <f t="shared" si="1"/>
        <v>27800</v>
      </c>
      <c r="I11" s="30">
        <f t="shared" si="1"/>
        <v>30400</v>
      </c>
      <c r="J11" s="30">
        <f t="shared" si="1"/>
        <v>32500</v>
      </c>
      <c r="K11" s="30">
        <f t="shared" si="1"/>
        <v>36200</v>
      </c>
      <c r="L11" s="30">
        <f t="shared" si="1"/>
        <v>37600</v>
      </c>
      <c r="M11" s="30">
        <f t="shared" si="1"/>
        <v>40300</v>
      </c>
      <c r="N11" s="30">
        <f t="shared" si="1"/>
        <v>44900</v>
      </c>
      <c r="O11" s="30">
        <f t="shared" si="1"/>
        <v>48000</v>
      </c>
      <c r="P11" s="30">
        <f t="shared" si="1"/>
        <v>63100</v>
      </c>
      <c r="U11" t="e">
        <f t="shared" si="2"/>
        <v>#N/A</v>
      </c>
    </row>
    <row r="12" spans="1:21" x14ac:dyDescent="0.3">
      <c r="A12" s="30">
        <v>6</v>
      </c>
      <c r="B12" s="30">
        <f t="shared" si="3"/>
        <v>19700</v>
      </c>
      <c r="C12" s="30">
        <f t="shared" si="1"/>
        <v>20400</v>
      </c>
      <c r="D12" s="30">
        <f t="shared" si="1"/>
        <v>21800</v>
      </c>
      <c r="E12" s="30">
        <f t="shared" si="1"/>
        <v>22800</v>
      </c>
      <c r="F12" s="30">
        <f t="shared" si="1"/>
        <v>24300</v>
      </c>
      <c r="G12" s="30">
        <f t="shared" si="1"/>
        <v>26300</v>
      </c>
      <c r="H12" s="30">
        <f t="shared" si="1"/>
        <v>28600</v>
      </c>
      <c r="I12" s="30">
        <f t="shared" si="1"/>
        <v>31300</v>
      </c>
      <c r="J12" s="30">
        <f t="shared" si="1"/>
        <v>33500</v>
      </c>
      <c r="K12" s="30">
        <f t="shared" si="1"/>
        <v>37300</v>
      </c>
      <c r="L12" s="30">
        <f t="shared" si="1"/>
        <v>38700</v>
      </c>
      <c r="M12" s="30">
        <f t="shared" si="1"/>
        <v>41500</v>
      </c>
      <c r="N12" s="30">
        <f t="shared" si="1"/>
        <v>46200</v>
      </c>
      <c r="O12" s="30">
        <f t="shared" si="1"/>
        <v>49400</v>
      </c>
      <c r="P12" s="30">
        <f t="shared" si="1"/>
        <v>65000</v>
      </c>
      <c r="U12" t="e">
        <f t="shared" si="2"/>
        <v>#N/A</v>
      </c>
    </row>
    <row r="13" spans="1:21" x14ac:dyDescent="0.3">
      <c r="A13" s="30">
        <v>7</v>
      </c>
      <c r="B13" s="30">
        <f t="shared" si="3"/>
        <v>20300</v>
      </c>
      <c r="C13" s="30">
        <f t="shared" si="1"/>
        <v>21000</v>
      </c>
      <c r="D13" s="30">
        <f t="shared" si="1"/>
        <v>22500</v>
      </c>
      <c r="E13" s="30">
        <f t="shared" si="1"/>
        <v>23500</v>
      </c>
      <c r="F13" s="30">
        <f t="shared" si="1"/>
        <v>25000</v>
      </c>
      <c r="G13" s="30">
        <f t="shared" si="1"/>
        <v>27100</v>
      </c>
      <c r="H13" s="30">
        <f t="shared" si="1"/>
        <v>29500</v>
      </c>
      <c r="I13" s="30">
        <f t="shared" si="1"/>
        <v>32200</v>
      </c>
      <c r="J13" s="30">
        <f t="shared" si="1"/>
        <v>34500</v>
      </c>
      <c r="K13" s="30">
        <f t="shared" si="1"/>
        <v>38400</v>
      </c>
      <c r="L13" s="30">
        <f t="shared" si="1"/>
        <v>39900</v>
      </c>
      <c r="M13" s="30">
        <f t="shared" si="1"/>
        <v>42700</v>
      </c>
      <c r="N13" s="30">
        <f t="shared" si="1"/>
        <v>47600</v>
      </c>
      <c r="O13" s="30">
        <f t="shared" si="1"/>
        <v>50900</v>
      </c>
      <c r="P13" s="30">
        <f t="shared" si="1"/>
        <v>67000</v>
      </c>
      <c r="U13" t="e">
        <f t="shared" si="2"/>
        <v>#N/A</v>
      </c>
    </row>
    <row r="14" spans="1:21" x14ac:dyDescent="0.3">
      <c r="A14" s="30">
        <v>8</v>
      </c>
      <c r="B14" s="30">
        <f t="shared" si="3"/>
        <v>20900</v>
      </c>
      <c r="C14" s="30">
        <f t="shared" si="1"/>
        <v>21600</v>
      </c>
      <c r="D14" s="30">
        <f t="shared" si="1"/>
        <v>23200</v>
      </c>
      <c r="E14" s="30">
        <f t="shared" si="1"/>
        <v>24200</v>
      </c>
      <c r="F14" s="30">
        <f t="shared" si="1"/>
        <v>25800</v>
      </c>
      <c r="G14" s="30">
        <f t="shared" si="1"/>
        <v>27900</v>
      </c>
      <c r="H14" s="30">
        <f t="shared" si="1"/>
        <v>30400</v>
      </c>
      <c r="I14" s="30">
        <f t="shared" si="1"/>
        <v>33200</v>
      </c>
      <c r="J14" s="30">
        <f t="shared" si="1"/>
        <v>35500</v>
      </c>
      <c r="K14" s="30">
        <f t="shared" si="1"/>
        <v>39600</v>
      </c>
      <c r="L14" s="30">
        <f t="shared" si="1"/>
        <v>41100</v>
      </c>
      <c r="M14" s="30">
        <f t="shared" si="1"/>
        <v>44000</v>
      </c>
      <c r="N14" s="30">
        <f t="shared" si="1"/>
        <v>49000</v>
      </c>
      <c r="O14" s="30">
        <f t="shared" si="1"/>
        <v>52400</v>
      </c>
      <c r="P14" s="30">
        <f t="shared" si="1"/>
        <v>69000</v>
      </c>
      <c r="U14" t="e">
        <f t="shared" si="2"/>
        <v>#N/A</v>
      </c>
    </row>
    <row r="15" spans="1:21" x14ac:dyDescent="0.3">
      <c r="A15" s="30">
        <v>9</v>
      </c>
      <c r="B15" s="30">
        <f t="shared" si="3"/>
        <v>21500</v>
      </c>
      <c r="C15" s="30">
        <f t="shared" si="1"/>
        <v>22200</v>
      </c>
      <c r="D15" s="30">
        <f t="shared" si="1"/>
        <v>23900</v>
      </c>
      <c r="E15" s="30">
        <f t="shared" si="1"/>
        <v>24900</v>
      </c>
      <c r="F15" s="30">
        <f t="shared" si="1"/>
        <v>26600</v>
      </c>
      <c r="G15" s="30">
        <f t="shared" si="1"/>
        <v>28700</v>
      </c>
      <c r="H15" s="30">
        <f t="shared" si="1"/>
        <v>31300</v>
      </c>
      <c r="I15" s="30">
        <f t="shared" si="1"/>
        <v>34200</v>
      </c>
      <c r="J15" s="30">
        <f t="shared" si="1"/>
        <v>36600</v>
      </c>
      <c r="K15" s="30">
        <f t="shared" si="1"/>
        <v>40800</v>
      </c>
      <c r="L15" s="30">
        <f t="shared" si="1"/>
        <v>42300</v>
      </c>
      <c r="M15" s="30">
        <f t="shared" si="1"/>
        <v>45300</v>
      </c>
      <c r="N15" s="30">
        <f t="shared" si="1"/>
        <v>50500</v>
      </c>
      <c r="O15" s="30">
        <f t="shared" si="1"/>
        <v>54000</v>
      </c>
      <c r="P15" s="30">
        <f t="shared" si="1"/>
        <v>71100</v>
      </c>
      <c r="U15" t="e">
        <f t="shared" si="2"/>
        <v>#N/A</v>
      </c>
    </row>
    <row r="16" spans="1:21" x14ac:dyDescent="0.3">
      <c r="A16" s="30">
        <v>10</v>
      </c>
      <c r="B16" s="30">
        <f t="shared" si="3"/>
        <v>22100</v>
      </c>
      <c r="C16" s="30">
        <f t="shared" si="1"/>
        <v>22900</v>
      </c>
      <c r="D16" s="30">
        <f t="shared" si="1"/>
        <v>24600</v>
      </c>
      <c r="E16" s="30">
        <f t="shared" si="1"/>
        <v>25600</v>
      </c>
      <c r="F16" s="30">
        <f t="shared" si="1"/>
        <v>27400</v>
      </c>
      <c r="G16" s="30">
        <f t="shared" si="1"/>
        <v>29600</v>
      </c>
      <c r="H16" s="30">
        <f t="shared" si="1"/>
        <v>32200</v>
      </c>
      <c r="I16" s="30">
        <f t="shared" si="1"/>
        <v>35200</v>
      </c>
      <c r="J16" s="30">
        <f t="shared" si="1"/>
        <v>37700</v>
      </c>
      <c r="K16" s="30">
        <f t="shared" si="1"/>
        <v>42000</v>
      </c>
      <c r="L16" s="30">
        <f t="shared" si="1"/>
        <v>43600</v>
      </c>
      <c r="M16" s="30">
        <f t="shared" si="1"/>
        <v>46700</v>
      </c>
      <c r="N16" s="30">
        <f t="shared" si="1"/>
        <v>52000</v>
      </c>
      <c r="O16" s="30">
        <f t="shared" si="1"/>
        <v>55600</v>
      </c>
      <c r="P16" s="30">
        <f t="shared" si="1"/>
        <v>73200</v>
      </c>
      <c r="U16" t="e">
        <f t="shared" si="2"/>
        <v>#N/A</v>
      </c>
    </row>
    <row r="17" spans="1:21" x14ac:dyDescent="0.3">
      <c r="A17" s="30">
        <v>11</v>
      </c>
      <c r="B17" s="30">
        <f t="shared" si="3"/>
        <v>22800</v>
      </c>
      <c r="C17" s="30">
        <f t="shared" si="1"/>
        <v>23600</v>
      </c>
      <c r="D17" s="30">
        <f t="shared" si="1"/>
        <v>25300</v>
      </c>
      <c r="E17" s="30">
        <f t="shared" si="1"/>
        <v>26400</v>
      </c>
      <c r="F17" s="30">
        <f t="shared" si="1"/>
        <v>28200</v>
      </c>
      <c r="G17" s="30">
        <f t="shared" si="1"/>
        <v>30500</v>
      </c>
      <c r="H17" s="30">
        <f t="shared" si="1"/>
        <v>33200</v>
      </c>
      <c r="I17" s="30">
        <f t="shared" si="1"/>
        <v>36300</v>
      </c>
      <c r="J17" s="30">
        <f t="shared" si="1"/>
        <v>38800</v>
      </c>
      <c r="K17" s="30">
        <f t="shared" si="1"/>
        <v>43300</v>
      </c>
      <c r="L17" s="30">
        <f t="shared" si="1"/>
        <v>44900</v>
      </c>
      <c r="M17" s="30">
        <f t="shared" si="1"/>
        <v>48100</v>
      </c>
      <c r="N17" s="30">
        <f t="shared" si="1"/>
        <v>53600</v>
      </c>
      <c r="O17" s="30">
        <f t="shared" si="1"/>
        <v>57300</v>
      </c>
      <c r="P17" s="30">
        <f t="shared" si="1"/>
        <v>75400</v>
      </c>
      <c r="U17" t="e">
        <f t="shared" si="2"/>
        <v>#N/A</v>
      </c>
    </row>
    <row r="18" spans="1:21" x14ac:dyDescent="0.3">
      <c r="A18" s="30">
        <v>12</v>
      </c>
      <c r="B18" s="30">
        <f t="shared" si="3"/>
        <v>23500</v>
      </c>
      <c r="C18" s="30">
        <f t="shared" si="1"/>
        <v>24300</v>
      </c>
      <c r="D18" s="30">
        <f t="shared" si="1"/>
        <v>26100</v>
      </c>
      <c r="E18" s="30">
        <f t="shared" si="1"/>
        <v>27200</v>
      </c>
      <c r="F18" s="30">
        <f t="shared" si="1"/>
        <v>29000</v>
      </c>
      <c r="G18" s="30">
        <f t="shared" si="1"/>
        <v>31400</v>
      </c>
      <c r="H18" s="30">
        <f t="shared" si="1"/>
        <v>34200</v>
      </c>
      <c r="I18" s="30">
        <f t="shared" si="1"/>
        <v>37400</v>
      </c>
      <c r="J18" s="30">
        <f t="shared" si="1"/>
        <v>40000</v>
      </c>
      <c r="K18" s="30">
        <f t="shared" si="1"/>
        <v>44600</v>
      </c>
      <c r="L18" s="30">
        <f t="shared" si="1"/>
        <v>46200</v>
      </c>
      <c r="M18" s="30">
        <f t="shared" si="1"/>
        <v>49500</v>
      </c>
      <c r="N18" s="30">
        <f t="shared" si="1"/>
        <v>55200</v>
      </c>
      <c r="O18" s="30">
        <f t="shared" si="1"/>
        <v>59000</v>
      </c>
      <c r="P18" s="30">
        <f t="shared" si="1"/>
        <v>77700</v>
      </c>
      <c r="U18" t="e">
        <f t="shared" si="2"/>
        <v>#N/A</v>
      </c>
    </row>
    <row r="19" spans="1:21" x14ac:dyDescent="0.3">
      <c r="A19" s="30">
        <v>13</v>
      </c>
      <c r="B19" s="30">
        <f t="shared" si="3"/>
        <v>24200</v>
      </c>
      <c r="C19" s="30">
        <f t="shared" si="1"/>
        <v>25000</v>
      </c>
      <c r="D19" s="30">
        <f t="shared" si="1"/>
        <v>26900</v>
      </c>
      <c r="E19" s="30">
        <f t="shared" si="1"/>
        <v>28000</v>
      </c>
      <c r="F19" s="30">
        <f t="shared" si="1"/>
        <v>29900</v>
      </c>
      <c r="G19" s="30">
        <f t="shared" si="1"/>
        <v>32300</v>
      </c>
      <c r="H19" s="30">
        <f t="shared" si="1"/>
        <v>35200</v>
      </c>
      <c r="I19" s="30">
        <f t="shared" si="1"/>
        <v>38500</v>
      </c>
      <c r="J19" s="30">
        <f t="shared" si="1"/>
        <v>41200</v>
      </c>
      <c r="K19" s="30">
        <f t="shared" si="1"/>
        <v>45900</v>
      </c>
      <c r="L19" s="30">
        <f t="shared" si="1"/>
        <v>47600</v>
      </c>
      <c r="M19" s="30">
        <f t="shared" si="1"/>
        <v>51000</v>
      </c>
      <c r="N19" s="30">
        <f t="shared" si="1"/>
        <v>56900</v>
      </c>
      <c r="O19" s="30">
        <f t="shared" si="1"/>
        <v>60800</v>
      </c>
      <c r="P19" s="30">
        <f t="shared" si="1"/>
        <v>80000</v>
      </c>
      <c r="U19" t="e">
        <f t="shared" si="2"/>
        <v>#N/A</v>
      </c>
    </row>
    <row r="20" spans="1:21" x14ac:dyDescent="0.3">
      <c r="A20" s="30">
        <v>14</v>
      </c>
      <c r="B20" s="30">
        <f t="shared" si="3"/>
        <v>24900</v>
      </c>
      <c r="C20" s="30">
        <f t="shared" si="1"/>
        <v>25800</v>
      </c>
      <c r="D20" s="30">
        <f t="shared" si="1"/>
        <v>27700</v>
      </c>
      <c r="E20" s="30">
        <f t="shared" si="1"/>
        <v>28800</v>
      </c>
      <c r="F20" s="30">
        <f t="shared" si="1"/>
        <v>30800</v>
      </c>
      <c r="G20" s="30">
        <f t="shared" si="1"/>
        <v>33300</v>
      </c>
      <c r="H20" s="30">
        <f t="shared" si="1"/>
        <v>36300</v>
      </c>
      <c r="I20" s="30">
        <f t="shared" si="1"/>
        <v>39700</v>
      </c>
      <c r="J20" s="30">
        <f t="shared" si="1"/>
        <v>42400</v>
      </c>
      <c r="K20" s="30">
        <f t="shared" si="1"/>
        <v>47300</v>
      </c>
      <c r="L20" s="30">
        <f t="shared" si="1"/>
        <v>49000</v>
      </c>
      <c r="M20" s="30">
        <f t="shared" si="1"/>
        <v>52500</v>
      </c>
      <c r="N20" s="30">
        <f t="shared" si="1"/>
        <v>58600</v>
      </c>
      <c r="O20" s="30">
        <f t="shared" si="1"/>
        <v>62600</v>
      </c>
      <c r="P20" s="30">
        <f t="shared" si="1"/>
        <v>82400</v>
      </c>
      <c r="U20" t="e">
        <f t="shared" si="2"/>
        <v>#N/A</v>
      </c>
    </row>
    <row r="21" spans="1:21" x14ac:dyDescent="0.3">
      <c r="A21" s="30">
        <v>15</v>
      </c>
      <c r="B21" s="30">
        <f t="shared" si="3"/>
        <v>25600</v>
      </c>
      <c r="C21" s="30">
        <f t="shared" si="1"/>
        <v>26600</v>
      </c>
      <c r="D21" s="30">
        <f t="shared" si="1"/>
        <v>28500</v>
      </c>
      <c r="E21" s="30">
        <f t="shared" si="1"/>
        <v>29700</v>
      </c>
      <c r="F21" s="30">
        <f t="shared" si="1"/>
        <v>31700</v>
      </c>
      <c r="G21" s="30">
        <f t="shared" si="1"/>
        <v>34300</v>
      </c>
      <c r="H21" s="30">
        <f t="shared" si="1"/>
        <v>37400</v>
      </c>
      <c r="I21" s="30">
        <f t="shared" si="1"/>
        <v>40900</v>
      </c>
      <c r="J21" s="30">
        <f t="shared" si="1"/>
        <v>43700</v>
      </c>
      <c r="K21" s="30">
        <f t="shared" si="1"/>
        <v>48700</v>
      </c>
      <c r="L21" s="30">
        <f t="shared" si="1"/>
        <v>50500</v>
      </c>
      <c r="M21" s="30">
        <f t="shared" si="1"/>
        <v>54100</v>
      </c>
      <c r="N21" s="30">
        <f t="shared" si="1"/>
        <v>60400</v>
      </c>
      <c r="O21" s="30">
        <f t="shared" si="1"/>
        <v>64500</v>
      </c>
      <c r="P21" s="30">
        <f t="shared" si="1"/>
        <v>84900</v>
      </c>
      <c r="U21" t="e">
        <f t="shared" si="2"/>
        <v>#N/A</v>
      </c>
    </row>
    <row r="22" spans="1:21" x14ac:dyDescent="0.3">
      <c r="A22" s="30">
        <v>16</v>
      </c>
      <c r="B22" s="30">
        <f t="shared" si="3"/>
        <v>26400</v>
      </c>
      <c r="C22" s="30">
        <f t="shared" si="1"/>
        <v>27400</v>
      </c>
      <c r="D22" s="30">
        <f t="shared" si="1"/>
        <v>29400</v>
      </c>
      <c r="E22" s="30">
        <f t="shared" si="1"/>
        <v>30600</v>
      </c>
      <c r="F22" s="30">
        <f t="shared" si="1"/>
        <v>32700</v>
      </c>
      <c r="G22" s="30">
        <f t="shared" si="1"/>
        <v>35300</v>
      </c>
      <c r="H22" s="30">
        <f t="shared" si="1"/>
        <v>38500</v>
      </c>
      <c r="I22" s="30">
        <f t="shared" si="1"/>
        <v>42100</v>
      </c>
      <c r="J22" s="30">
        <f t="shared" si="1"/>
        <v>45000</v>
      </c>
      <c r="K22" s="30">
        <f t="shared" si="1"/>
        <v>50200</v>
      </c>
      <c r="L22" s="30">
        <f t="shared" si="1"/>
        <v>52000</v>
      </c>
      <c r="M22" s="30">
        <f t="shared" si="1"/>
        <v>55700</v>
      </c>
      <c r="N22" s="30">
        <f t="shared" si="1"/>
        <v>62200</v>
      </c>
      <c r="O22" s="30">
        <f t="shared" si="1"/>
        <v>66400</v>
      </c>
      <c r="P22" s="30">
        <f t="shared" si="1"/>
        <v>87400</v>
      </c>
      <c r="U22" t="e">
        <f t="shared" si="2"/>
        <v>#N/A</v>
      </c>
    </row>
    <row r="23" spans="1:21" x14ac:dyDescent="0.3">
      <c r="A23" s="30">
        <v>17</v>
      </c>
      <c r="B23" s="30">
        <f t="shared" si="3"/>
        <v>27200</v>
      </c>
      <c r="C23" s="30">
        <f t="shared" si="1"/>
        <v>28200</v>
      </c>
      <c r="D23" s="30">
        <f t="shared" si="1"/>
        <v>30300</v>
      </c>
      <c r="E23" s="30">
        <f t="shared" si="1"/>
        <v>31500</v>
      </c>
      <c r="F23" s="30">
        <f t="shared" si="1"/>
        <v>33700</v>
      </c>
      <c r="G23" s="30">
        <f t="shared" si="1"/>
        <v>36400</v>
      </c>
      <c r="H23" s="30">
        <f t="shared" si="1"/>
        <v>39700</v>
      </c>
      <c r="I23" s="30">
        <f t="shared" si="1"/>
        <v>43400</v>
      </c>
      <c r="J23" s="30">
        <f t="shared" si="1"/>
        <v>46400</v>
      </c>
      <c r="K23" s="30">
        <f t="shared" si="1"/>
        <v>51700</v>
      </c>
      <c r="L23" s="30">
        <f t="shared" si="1"/>
        <v>53600</v>
      </c>
      <c r="M23" s="30">
        <f t="shared" si="1"/>
        <v>57400</v>
      </c>
      <c r="N23" s="30">
        <f t="shared" si="1"/>
        <v>64100</v>
      </c>
      <c r="O23" s="30">
        <f t="shared" si="1"/>
        <v>68400</v>
      </c>
      <c r="P23" s="30">
        <f t="shared" si="1"/>
        <v>90000</v>
      </c>
      <c r="U23" t="e">
        <f t="shared" si="2"/>
        <v>#N/A</v>
      </c>
    </row>
    <row r="24" spans="1:21" x14ac:dyDescent="0.3">
      <c r="A24" s="30">
        <v>18</v>
      </c>
      <c r="B24" s="30">
        <f t="shared" si="3"/>
        <v>28000</v>
      </c>
      <c r="C24" s="30">
        <f t="shared" si="3"/>
        <v>29000</v>
      </c>
      <c r="D24" s="30">
        <f t="shared" si="3"/>
        <v>31200</v>
      </c>
      <c r="E24" s="30">
        <f t="shared" si="3"/>
        <v>32400</v>
      </c>
      <c r="F24" s="30">
        <f t="shared" si="3"/>
        <v>34700</v>
      </c>
      <c r="G24" s="30">
        <f t="shared" si="3"/>
        <v>37500</v>
      </c>
      <c r="H24" s="30">
        <f t="shared" si="3"/>
        <v>40900</v>
      </c>
      <c r="I24" s="30">
        <f t="shared" si="3"/>
        <v>44700</v>
      </c>
      <c r="J24" s="30">
        <f t="shared" si="3"/>
        <v>47800</v>
      </c>
      <c r="K24" s="30">
        <f t="shared" si="3"/>
        <v>53300</v>
      </c>
      <c r="L24" s="30">
        <f t="shared" si="3"/>
        <v>55200</v>
      </c>
      <c r="M24" s="30">
        <f t="shared" si="3"/>
        <v>59100</v>
      </c>
      <c r="N24" s="30">
        <f t="shared" si="3"/>
        <v>66000</v>
      </c>
      <c r="O24" s="30">
        <f t="shared" si="3"/>
        <v>70500</v>
      </c>
      <c r="P24" s="30">
        <f t="shared" si="3"/>
        <v>92700</v>
      </c>
      <c r="U24" t="e">
        <f t="shared" si="2"/>
        <v>#N/A</v>
      </c>
    </row>
    <row r="25" spans="1:21" x14ac:dyDescent="0.3">
      <c r="A25" s="30">
        <v>19</v>
      </c>
      <c r="B25" s="30">
        <f t="shared" ref="B25:P39" si="4">B24+IF(MOD(B24*0.03,100)&gt;=50,B24*0.03-MOD(B24*0.03,100)+100,B24*0.03-MOD(B24*0.03,100))</f>
        <v>28800</v>
      </c>
      <c r="C25" s="30">
        <f t="shared" si="4"/>
        <v>29900</v>
      </c>
      <c r="D25" s="30">
        <f t="shared" si="4"/>
        <v>32100</v>
      </c>
      <c r="E25" s="30">
        <f t="shared" si="4"/>
        <v>33400</v>
      </c>
      <c r="F25" s="30">
        <f t="shared" si="4"/>
        <v>35700</v>
      </c>
      <c r="G25" s="30">
        <f t="shared" si="4"/>
        <v>38600</v>
      </c>
      <c r="H25" s="30">
        <f t="shared" si="4"/>
        <v>42100</v>
      </c>
      <c r="I25" s="30">
        <f t="shared" si="4"/>
        <v>46000</v>
      </c>
      <c r="J25" s="30">
        <f t="shared" si="4"/>
        <v>49200</v>
      </c>
      <c r="K25" s="30">
        <f t="shared" si="4"/>
        <v>54900</v>
      </c>
      <c r="L25" s="30">
        <f t="shared" si="4"/>
        <v>56900</v>
      </c>
      <c r="M25" s="30">
        <f t="shared" si="4"/>
        <v>60900</v>
      </c>
      <c r="N25" s="30">
        <f t="shared" si="4"/>
        <v>68000</v>
      </c>
      <c r="O25" s="30">
        <f t="shared" si="4"/>
        <v>72600</v>
      </c>
      <c r="P25" s="30">
        <f t="shared" si="4"/>
        <v>95500</v>
      </c>
      <c r="U25" t="e">
        <f t="shared" si="2"/>
        <v>#N/A</v>
      </c>
    </row>
    <row r="26" spans="1:21" x14ac:dyDescent="0.3">
      <c r="A26" s="30">
        <v>20</v>
      </c>
      <c r="B26" s="30">
        <f t="shared" si="4"/>
        <v>29700</v>
      </c>
      <c r="C26" s="30">
        <f t="shared" si="4"/>
        <v>30800</v>
      </c>
      <c r="D26" s="30">
        <f t="shared" si="4"/>
        <v>33100</v>
      </c>
      <c r="E26" s="30">
        <f t="shared" si="4"/>
        <v>34400</v>
      </c>
      <c r="F26" s="30">
        <f t="shared" si="4"/>
        <v>36800</v>
      </c>
      <c r="G26" s="30">
        <f t="shared" si="4"/>
        <v>39800</v>
      </c>
      <c r="H26" s="30">
        <f t="shared" si="4"/>
        <v>43400</v>
      </c>
      <c r="I26" s="30">
        <f t="shared" si="4"/>
        <v>47400</v>
      </c>
      <c r="J26" s="30">
        <f t="shared" si="4"/>
        <v>50700</v>
      </c>
      <c r="K26" s="30">
        <f t="shared" si="4"/>
        <v>56500</v>
      </c>
      <c r="L26" s="30">
        <f t="shared" si="4"/>
        <v>58600</v>
      </c>
      <c r="M26" s="30">
        <f t="shared" si="4"/>
        <v>62700</v>
      </c>
      <c r="N26" s="30">
        <f t="shared" si="4"/>
        <v>70000</v>
      </c>
      <c r="O26" s="30">
        <f t="shared" si="4"/>
        <v>74800</v>
      </c>
      <c r="P26" s="30">
        <f t="shared" si="4"/>
        <v>98400</v>
      </c>
      <c r="U26" t="e">
        <f t="shared" si="2"/>
        <v>#N/A</v>
      </c>
    </row>
    <row r="27" spans="1:21" x14ac:dyDescent="0.3">
      <c r="A27" s="30">
        <v>21</v>
      </c>
      <c r="B27" s="30">
        <f t="shared" si="4"/>
        <v>30600</v>
      </c>
      <c r="C27" s="30">
        <f t="shared" si="4"/>
        <v>31700</v>
      </c>
      <c r="D27" s="30">
        <f t="shared" si="4"/>
        <v>34100</v>
      </c>
      <c r="E27" s="30">
        <f t="shared" si="4"/>
        <v>35400</v>
      </c>
      <c r="F27" s="30">
        <f t="shared" si="4"/>
        <v>37900</v>
      </c>
      <c r="G27" s="30">
        <f t="shared" si="4"/>
        <v>41000</v>
      </c>
      <c r="H27" s="30">
        <f t="shared" si="4"/>
        <v>44700</v>
      </c>
      <c r="I27" s="30">
        <f t="shared" si="4"/>
        <v>48800</v>
      </c>
      <c r="J27" s="30">
        <f t="shared" si="4"/>
        <v>52200</v>
      </c>
      <c r="K27" s="30">
        <f t="shared" si="4"/>
        <v>58200</v>
      </c>
      <c r="L27" s="30">
        <f t="shared" si="4"/>
        <v>60400</v>
      </c>
      <c r="M27" s="30">
        <f t="shared" si="4"/>
        <v>64600</v>
      </c>
      <c r="N27" s="30">
        <f t="shared" si="4"/>
        <v>72100</v>
      </c>
      <c r="O27" s="30">
        <f t="shared" si="4"/>
        <v>77000</v>
      </c>
      <c r="P27" s="30">
        <f t="shared" si="4"/>
        <v>101400</v>
      </c>
      <c r="U27" t="e">
        <f t="shared" si="2"/>
        <v>#N/A</v>
      </c>
    </row>
    <row r="28" spans="1:21" x14ac:dyDescent="0.3">
      <c r="A28" s="30">
        <v>22</v>
      </c>
      <c r="B28" s="30">
        <f t="shared" si="4"/>
        <v>31500</v>
      </c>
      <c r="C28" s="30">
        <f t="shared" si="4"/>
        <v>32700</v>
      </c>
      <c r="D28" s="30">
        <f t="shared" si="4"/>
        <v>35100</v>
      </c>
      <c r="E28" s="30">
        <f t="shared" si="4"/>
        <v>36500</v>
      </c>
      <c r="F28" s="30">
        <f t="shared" si="4"/>
        <v>39000</v>
      </c>
      <c r="G28" s="30">
        <f t="shared" si="4"/>
        <v>42200</v>
      </c>
      <c r="H28" s="30">
        <f t="shared" si="4"/>
        <v>46000</v>
      </c>
      <c r="I28" s="30">
        <f t="shared" si="4"/>
        <v>50300</v>
      </c>
      <c r="J28" s="30">
        <f t="shared" si="4"/>
        <v>53800</v>
      </c>
      <c r="K28" s="30">
        <f t="shared" si="4"/>
        <v>59900</v>
      </c>
      <c r="L28" s="30">
        <f t="shared" si="4"/>
        <v>62200</v>
      </c>
      <c r="M28" s="30">
        <f t="shared" si="4"/>
        <v>66500</v>
      </c>
      <c r="N28" s="30">
        <f t="shared" si="4"/>
        <v>74300</v>
      </c>
      <c r="O28" s="30">
        <f t="shared" si="4"/>
        <v>79300</v>
      </c>
      <c r="P28" s="30">
        <f t="shared" si="4"/>
        <v>104400</v>
      </c>
      <c r="U28" t="e">
        <f t="shared" si="2"/>
        <v>#N/A</v>
      </c>
    </row>
    <row r="29" spans="1:21" x14ac:dyDescent="0.3">
      <c r="A29" s="30">
        <v>23</v>
      </c>
      <c r="B29" s="30">
        <f t="shared" si="4"/>
        <v>32400</v>
      </c>
      <c r="C29" s="30">
        <f t="shared" si="4"/>
        <v>33700</v>
      </c>
      <c r="D29" s="30">
        <f t="shared" si="4"/>
        <v>36200</v>
      </c>
      <c r="E29" s="30">
        <f t="shared" si="4"/>
        <v>37600</v>
      </c>
      <c r="F29" s="30">
        <f t="shared" si="4"/>
        <v>40200</v>
      </c>
      <c r="G29" s="30">
        <f t="shared" si="4"/>
        <v>43500</v>
      </c>
      <c r="H29" s="30">
        <f t="shared" si="4"/>
        <v>47400</v>
      </c>
      <c r="I29" s="30">
        <f t="shared" si="4"/>
        <v>51800</v>
      </c>
      <c r="J29" s="30">
        <f t="shared" si="4"/>
        <v>55400</v>
      </c>
      <c r="K29" s="30">
        <f t="shared" si="4"/>
        <v>61700</v>
      </c>
      <c r="L29" s="30">
        <f t="shared" si="4"/>
        <v>64100</v>
      </c>
      <c r="M29" s="30">
        <f t="shared" si="4"/>
        <v>68500</v>
      </c>
      <c r="N29" s="30">
        <f t="shared" si="4"/>
        <v>76500</v>
      </c>
      <c r="O29" s="30">
        <f t="shared" si="4"/>
        <v>81700</v>
      </c>
      <c r="P29" s="30">
        <f t="shared" si="4"/>
        <v>107500</v>
      </c>
      <c r="U29" t="e">
        <f t="shared" si="2"/>
        <v>#N/A</v>
      </c>
    </row>
    <row r="30" spans="1:21" x14ac:dyDescent="0.3">
      <c r="A30" s="30">
        <v>24</v>
      </c>
      <c r="B30" s="30">
        <f t="shared" si="4"/>
        <v>33400</v>
      </c>
      <c r="C30" s="30">
        <f t="shared" si="4"/>
        <v>34700</v>
      </c>
      <c r="D30" s="30">
        <f t="shared" si="4"/>
        <v>37300</v>
      </c>
      <c r="E30" s="30">
        <f t="shared" si="4"/>
        <v>38700</v>
      </c>
      <c r="F30" s="30">
        <f t="shared" si="4"/>
        <v>41400</v>
      </c>
      <c r="G30" s="30">
        <f t="shared" si="4"/>
        <v>44800</v>
      </c>
      <c r="H30" s="30">
        <f t="shared" si="4"/>
        <v>48800</v>
      </c>
      <c r="I30" s="30">
        <f t="shared" si="4"/>
        <v>53400</v>
      </c>
      <c r="J30" s="30">
        <f t="shared" si="4"/>
        <v>57100</v>
      </c>
      <c r="K30" s="30">
        <f t="shared" si="4"/>
        <v>63600</v>
      </c>
      <c r="L30" s="30">
        <f t="shared" si="4"/>
        <v>66000</v>
      </c>
      <c r="M30" s="30">
        <f t="shared" si="4"/>
        <v>70600</v>
      </c>
      <c r="N30" s="30">
        <f t="shared" si="4"/>
        <v>78800</v>
      </c>
      <c r="O30" s="30">
        <f t="shared" si="4"/>
        <v>84200</v>
      </c>
      <c r="P30" s="30">
        <f t="shared" si="4"/>
        <v>110700</v>
      </c>
      <c r="U30" t="e">
        <f t="shared" si="2"/>
        <v>#N/A</v>
      </c>
    </row>
    <row r="31" spans="1:21" x14ac:dyDescent="0.3">
      <c r="A31" s="30">
        <v>25</v>
      </c>
      <c r="B31" s="30">
        <f t="shared" si="4"/>
        <v>34400</v>
      </c>
      <c r="C31" s="30">
        <f t="shared" si="4"/>
        <v>35700</v>
      </c>
      <c r="D31" s="30">
        <f t="shared" si="4"/>
        <v>38400</v>
      </c>
      <c r="E31" s="30">
        <f t="shared" si="4"/>
        <v>39900</v>
      </c>
      <c r="F31" s="30">
        <f t="shared" si="4"/>
        <v>42600</v>
      </c>
      <c r="G31" s="30">
        <f t="shared" si="4"/>
        <v>46100</v>
      </c>
      <c r="H31" s="30">
        <f t="shared" si="4"/>
        <v>50300</v>
      </c>
      <c r="I31" s="30">
        <f t="shared" si="4"/>
        <v>55000</v>
      </c>
      <c r="J31" s="30">
        <f t="shared" si="4"/>
        <v>58800</v>
      </c>
      <c r="K31" s="30">
        <f t="shared" si="4"/>
        <v>65500</v>
      </c>
      <c r="L31" s="30">
        <f t="shared" si="4"/>
        <v>68000</v>
      </c>
      <c r="M31" s="30">
        <f t="shared" si="4"/>
        <v>72700</v>
      </c>
      <c r="N31" s="30">
        <f t="shared" si="4"/>
        <v>81200</v>
      </c>
      <c r="O31" s="30">
        <f t="shared" si="4"/>
        <v>86700</v>
      </c>
      <c r="P31" s="30">
        <f t="shared" si="4"/>
        <v>114000</v>
      </c>
      <c r="U31" t="e">
        <f t="shared" si="2"/>
        <v>#N/A</v>
      </c>
    </row>
    <row r="32" spans="1:21" x14ac:dyDescent="0.3">
      <c r="A32" s="30">
        <v>26</v>
      </c>
      <c r="B32" s="30">
        <f t="shared" si="4"/>
        <v>35400</v>
      </c>
      <c r="C32" s="30">
        <f t="shared" si="4"/>
        <v>36800</v>
      </c>
      <c r="D32" s="30">
        <f t="shared" si="4"/>
        <v>39600</v>
      </c>
      <c r="E32" s="30">
        <f t="shared" si="4"/>
        <v>41100</v>
      </c>
      <c r="F32" s="30">
        <f t="shared" si="4"/>
        <v>43900</v>
      </c>
      <c r="G32" s="30">
        <f t="shared" si="4"/>
        <v>47500</v>
      </c>
      <c r="H32" s="30">
        <f t="shared" si="4"/>
        <v>51800</v>
      </c>
      <c r="I32" s="30">
        <f t="shared" si="4"/>
        <v>56700</v>
      </c>
      <c r="J32" s="30">
        <f t="shared" si="4"/>
        <v>60600</v>
      </c>
      <c r="K32" s="30">
        <f t="shared" si="4"/>
        <v>67500</v>
      </c>
      <c r="L32" s="30">
        <f t="shared" si="4"/>
        <v>70000</v>
      </c>
      <c r="M32" s="30">
        <f t="shared" si="4"/>
        <v>74900</v>
      </c>
      <c r="N32" s="30">
        <f t="shared" si="4"/>
        <v>83600</v>
      </c>
      <c r="O32" s="30">
        <f t="shared" si="4"/>
        <v>89300</v>
      </c>
      <c r="P32" s="30">
        <f t="shared" si="4"/>
        <v>117400</v>
      </c>
      <c r="U32" t="e">
        <f t="shared" si="2"/>
        <v>#N/A</v>
      </c>
    </row>
    <row r="33" spans="1:21" x14ac:dyDescent="0.3">
      <c r="A33" s="30">
        <v>27</v>
      </c>
      <c r="B33" s="30">
        <f t="shared" si="4"/>
        <v>36500</v>
      </c>
      <c r="C33" s="30">
        <f t="shared" si="4"/>
        <v>37900</v>
      </c>
      <c r="D33" s="30">
        <f t="shared" si="4"/>
        <v>40800</v>
      </c>
      <c r="E33" s="30">
        <f t="shared" si="4"/>
        <v>42300</v>
      </c>
      <c r="F33" s="30">
        <f t="shared" si="4"/>
        <v>45200</v>
      </c>
      <c r="G33" s="30">
        <f t="shared" si="4"/>
        <v>48900</v>
      </c>
      <c r="H33" s="30">
        <f t="shared" si="4"/>
        <v>53400</v>
      </c>
      <c r="I33" s="30">
        <f t="shared" si="4"/>
        <v>58400</v>
      </c>
      <c r="J33" s="30">
        <f t="shared" si="4"/>
        <v>62400</v>
      </c>
      <c r="K33" s="30">
        <f t="shared" si="4"/>
        <v>69500</v>
      </c>
      <c r="L33" s="30">
        <f t="shared" si="4"/>
        <v>72100</v>
      </c>
      <c r="M33" s="30">
        <f t="shared" si="4"/>
        <v>77100</v>
      </c>
      <c r="N33" s="30">
        <f t="shared" si="4"/>
        <v>86100</v>
      </c>
      <c r="O33" s="30">
        <f t="shared" si="4"/>
        <v>92000</v>
      </c>
      <c r="P33" s="30">
        <f t="shared" si="4"/>
        <v>120900</v>
      </c>
      <c r="U33" t="e">
        <f t="shared" si="2"/>
        <v>#N/A</v>
      </c>
    </row>
    <row r="34" spans="1:21" x14ac:dyDescent="0.3">
      <c r="A34" s="30">
        <v>28</v>
      </c>
      <c r="B34" s="30">
        <f t="shared" si="4"/>
        <v>37600</v>
      </c>
      <c r="C34" s="30">
        <f t="shared" si="4"/>
        <v>39000</v>
      </c>
      <c r="D34" s="30">
        <f t="shared" si="4"/>
        <v>42000</v>
      </c>
      <c r="E34" s="30">
        <f t="shared" si="4"/>
        <v>43600</v>
      </c>
      <c r="F34" s="30">
        <f t="shared" si="4"/>
        <v>46600</v>
      </c>
      <c r="G34" s="30">
        <f t="shared" si="4"/>
        <v>50400</v>
      </c>
      <c r="H34" s="30">
        <f t="shared" si="4"/>
        <v>55000</v>
      </c>
      <c r="I34" s="30">
        <f t="shared" si="4"/>
        <v>60200</v>
      </c>
      <c r="J34" s="30">
        <f t="shared" si="4"/>
        <v>64300</v>
      </c>
      <c r="K34" s="30">
        <f t="shared" si="4"/>
        <v>71600</v>
      </c>
      <c r="L34" s="30">
        <f t="shared" si="4"/>
        <v>74300</v>
      </c>
      <c r="M34" s="30">
        <f t="shared" si="4"/>
        <v>79400</v>
      </c>
      <c r="N34" s="30">
        <f t="shared" si="4"/>
        <v>88700</v>
      </c>
      <c r="O34" s="30">
        <f t="shared" si="4"/>
        <v>94800</v>
      </c>
      <c r="P34" s="30">
        <f t="shared" si="4"/>
        <v>124500</v>
      </c>
      <c r="U34" t="e">
        <f t="shared" si="2"/>
        <v>#N/A</v>
      </c>
    </row>
    <row r="35" spans="1:21" x14ac:dyDescent="0.3">
      <c r="A35" s="30">
        <v>29</v>
      </c>
      <c r="B35" s="30">
        <f>B34+IF(MOD(B34*0.03,100)&gt;=50,B34*0.03-MOD(B34*0.03,100)+100,B34*0.03-MOD(B34*0.03,100))</f>
        <v>38700</v>
      </c>
      <c r="C35" s="30">
        <f t="shared" si="4"/>
        <v>40200</v>
      </c>
      <c r="D35" s="30">
        <f t="shared" si="4"/>
        <v>43300</v>
      </c>
      <c r="E35" s="30">
        <f t="shared" si="4"/>
        <v>44900</v>
      </c>
      <c r="F35" s="30">
        <f t="shared" si="4"/>
        <v>48000</v>
      </c>
      <c r="G35" s="30">
        <f t="shared" si="4"/>
        <v>51900</v>
      </c>
      <c r="H35" s="30">
        <f t="shared" si="4"/>
        <v>56700</v>
      </c>
      <c r="I35" s="30">
        <f t="shared" si="4"/>
        <v>62000</v>
      </c>
      <c r="J35" s="30">
        <f t="shared" si="4"/>
        <v>66200</v>
      </c>
      <c r="K35" s="30">
        <f t="shared" si="4"/>
        <v>73700</v>
      </c>
      <c r="L35" s="30">
        <f t="shared" si="4"/>
        <v>76500</v>
      </c>
      <c r="M35" s="30">
        <f t="shared" si="4"/>
        <v>81800</v>
      </c>
      <c r="N35" s="30">
        <f t="shared" si="4"/>
        <v>91400</v>
      </c>
      <c r="O35" s="30">
        <f t="shared" si="4"/>
        <v>97600</v>
      </c>
      <c r="P35" s="30">
        <f t="shared" si="4"/>
        <v>128200</v>
      </c>
      <c r="U35" t="e">
        <f t="shared" si="2"/>
        <v>#N/A</v>
      </c>
    </row>
    <row r="36" spans="1:21" x14ac:dyDescent="0.3">
      <c r="A36" s="30">
        <v>30</v>
      </c>
      <c r="B36" s="30">
        <f t="shared" ref="B36:B39" si="5">B35+IF(MOD(B35*0.03,100)&gt;=50,B35*0.03-MOD(B35*0.03,100)+100,B35*0.03-MOD(B35*0.03,100))</f>
        <v>39900</v>
      </c>
      <c r="C36" s="30">
        <f t="shared" si="4"/>
        <v>41400</v>
      </c>
      <c r="D36" s="30">
        <f t="shared" si="4"/>
        <v>44600</v>
      </c>
      <c r="E36" s="30">
        <f t="shared" si="4"/>
        <v>46200</v>
      </c>
      <c r="F36" s="30">
        <f t="shared" si="4"/>
        <v>49400</v>
      </c>
      <c r="G36" s="30">
        <f t="shared" si="4"/>
        <v>53500</v>
      </c>
      <c r="H36" s="30">
        <f t="shared" si="4"/>
        <v>58400</v>
      </c>
      <c r="I36" s="30">
        <f t="shared" si="4"/>
        <v>63900</v>
      </c>
      <c r="J36" s="30">
        <f t="shared" si="4"/>
        <v>68200</v>
      </c>
      <c r="K36" s="30">
        <f t="shared" si="4"/>
        <v>75900</v>
      </c>
      <c r="L36" s="30">
        <f t="shared" si="4"/>
        <v>78800</v>
      </c>
      <c r="M36" s="30">
        <f t="shared" si="4"/>
        <v>84300</v>
      </c>
      <c r="N36" s="30">
        <f t="shared" si="4"/>
        <v>94100</v>
      </c>
      <c r="O36" s="30">
        <f t="shared" si="4"/>
        <v>100500</v>
      </c>
      <c r="P36" s="30">
        <f t="shared" si="4"/>
        <v>132000</v>
      </c>
      <c r="U36" t="e">
        <f t="shared" si="2"/>
        <v>#N/A</v>
      </c>
    </row>
    <row r="37" spans="1:21" x14ac:dyDescent="0.3">
      <c r="A37" s="30">
        <v>31</v>
      </c>
      <c r="B37" s="30">
        <f t="shared" si="5"/>
        <v>41100</v>
      </c>
      <c r="C37" s="30">
        <f t="shared" si="4"/>
        <v>42600</v>
      </c>
      <c r="D37" s="30">
        <f t="shared" si="4"/>
        <v>45900</v>
      </c>
      <c r="E37" s="30">
        <f t="shared" si="4"/>
        <v>47600</v>
      </c>
      <c r="F37" s="30">
        <f t="shared" si="4"/>
        <v>50900</v>
      </c>
      <c r="G37" s="30">
        <f t="shared" si="4"/>
        <v>55100</v>
      </c>
      <c r="H37" s="30">
        <f t="shared" si="4"/>
        <v>60200</v>
      </c>
      <c r="I37" s="30">
        <f t="shared" si="4"/>
        <v>65800</v>
      </c>
      <c r="J37" s="30">
        <f t="shared" si="4"/>
        <v>70200</v>
      </c>
      <c r="K37" s="30">
        <f t="shared" si="4"/>
        <v>78200</v>
      </c>
      <c r="L37" s="30">
        <f t="shared" si="4"/>
        <v>81200</v>
      </c>
      <c r="M37" s="30">
        <f t="shared" si="4"/>
        <v>86800</v>
      </c>
      <c r="N37" s="30">
        <f t="shared" si="4"/>
        <v>96900</v>
      </c>
      <c r="O37" s="30">
        <f t="shared" si="4"/>
        <v>103500</v>
      </c>
      <c r="P37" s="30">
        <f t="shared" si="4"/>
        <v>136000</v>
      </c>
      <c r="U37" t="e">
        <f t="shared" si="2"/>
        <v>#N/A</v>
      </c>
    </row>
    <row r="38" spans="1:21" x14ac:dyDescent="0.3">
      <c r="A38" s="30">
        <v>32</v>
      </c>
      <c r="B38" s="30">
        <f t="shared" si="5"/>
        <v>42300</v>
      </c>
      <c r="C38" s="30">
        <f t="shared" si="4"/>
        <v>43900</v>
      </c>
      <c r="D38" s="30">
        <f t="shared" si="4"/>
        <v>47300</v>
      </c>
      <c r="E38" s="30">
        <f t="shared" si="4"/>
        <v>49000</v>
      </c>
      <c r="F38" s="30">
        <f t="shared" si="4"/>
        <v>52400</v>
      </c>
      <c r="G38" s="30">
        <f t="shared" si="4"/>
        <v>56800</v>
      </c>
      <c r="H38" s="30">
        <f t="shared" si="4"/>
        <v>62000</v>
      </c>
      <c r="I38" s="30">
        <f t="shared" si="4"/>
        <v>67800</v>
      </c>
      <c r="J38" s="30">
        <f t="shared" si="4"/>
        <v>72300</v>
      </c>
      <c r="K38" s="30">
        <f t="shared" si="4"/>
        <v>80500</v>
      </c>
      <c r="L38" s="30">
        <f t="shared" si="4"/>
        <v>83600</v>
      </c>
      <c r="M38" s="30">
        <f t="shared" si="4"/>
        <v>89400</v>
      </c>
      <c r="N38" s="30">
        <f t="shared" si="4"/>
        <v>99800</v>
      </c>
      <c r="O38" s="30">
        <f t="shared" si="4"/>
        <v>106600</v>
      </c>
      <c r="P38" s="30">
        <f t="shared" si="4"/>
        <v>140100</v>
      </c>
      <c r="U38" t="e">
        <f t="shared" si="2"/>
        <v>#N/A</v>
      </c>
    </row>
    <row r="39" spans="1:21" x14ac:dyDescent="0.3">
      <c r="A39" s="30">
        <v>33</v>
      </c>
      <c r="B39" s="30">
        <f t="shared" si="5"/>
        <v>43600</v>
      </c>
      <c r="C39" s="30">
        <f t="shared" si="4"/>
        <v>45200</v>
      </c>
      <c r="D39" s="30">
        <f t="shared" si="4"/>
        <v>48700</v>
      </c>
      <c r="E39" s="30">
        <f t="shared" si="4"/>
        <v>50500</v>
      </c>
      <c r="F39" s="30">
        <f t="shared" si="4"/>
        <v>54000</v>
      </c>
      <c r="G39" s="30">
        <f t="shared" si="4"/>
        <v>58500</v>
      </c>
      <c r="H39" s="30">
        <f t="shared" si="4"/>
        <v>63900</v>
      </c>
      <c r="I39" s="30">
        <f t="shared" si="4"/>
        <v>69800</v>
      </c>
      <c r="J39" s="30">
        <f t="shared" si="4"/>
        <v>74500</v>
      </c>
      <c r="K39" s="30">
        <f t="shared" si="4"/>
        <v>82900</v>
      </c>
      <c r="L39" s="30">
        <f t="shared" si="4"/>
        <v>86100</v>
      </c>
      <c r="M39" s="30">
        <f t="shared" si="4"/>
        <v>92100</v>
      </c>
      <c r="N39" s="30">
        <f t="shared" si="4"/>
        <v>102800</v>
      </c>
      <c r="O39" s="30">
        <f t="shared" si="4"/>
        <v>109800</v>
      </c>
      <c r="P39" s="30">
        <f t="shared" si="4"/>
        <v>144300</v>
      </c>
      <c r="U39" t="e">
        <f t="shared" si="2"/>
        <v>#N/A</v>
      </c>
    </row>
    <row r="40" spans="1:21" s="31" customFormat="1" x14ac:dyDescent="0.3">
      <c r="A40" s="32"/>
      <c r="B40" s="32"/>
      <c r="C40" s="32"/>
      <c r="D40" s="32"/>
      <c r="E40" s="32"/>
      <c r="F40" s="32"/>
      <c r="G40" s="32"/>
      <c r="H40" s="32"/>
      <c r="I40" s="32"/>
      <c r="J40" s="32"/>
      <c r="K40" s="32"/>
      <c r="L40" s="32"/>
      <c r="M40" s="32"/>
      <c r="N40" s="32"/>
      <c r="O40" s="32"/>
      <c r="P40" s="32"/>
    </row>
    <row r="41" spans="1:21" s="31" customFormat="1" hidden="1" x14ac:dyDescent="0.3">
      <c r="A41" s="32"/>
      <c r="B41" s="32"/>
      <c r="C41" s="32"/>
      <c r="D41" s="32"/>
      <c r="E41" s="32"/>
      <c r="F41" s="32"/>
      <c r="G41" s="32"/>
      <c r="H41" s="32"/>
      <c r="I41" s="32"/>
      <c r="J41" s="32"/>
      <c r="K41" s="32"/>
      <c r="L41" s="32"/>
      <c r="M41" s="32"/>
      <c r="N41" s="32"/>
      <c r="O41" s="32"/>
      <c r="P41" s="32"/>
    </row>
    <row r="42" spans="1:21" s="31" customFormat="1" hidden="1" x14ac:dyDescent="0.3">
      <c r="A42" s="32" t="s">
        <v>92</v>
      </c>
      <c r="B42" s="33">
        <f t="array" ref="B42">MIN(IF(B7:B39&gt;=$T$2,B7:B39))</f>
        <v>17000</v>
      </c>
      <c r="C42" s="33">
        <f t="array" ref="C42">MIN(IF(C7:C39&gt;=$T$2,C7:C39))</f>
        <v>17600</v>
      </c>
      <c r="D42" s="33">
        <f t="array" ref="D42">MIN(IF(D7:D39&gt;=$T$2,D7:D39))</f>
        <v>18800</v>
      </c>
      <c r="E42" s="33">
        <f t="array" ref="E42">MIN(IF(E7:E39&gt;=$T$2,E7:E39))</f>
        <v>19700</v>
      </c>
      <c r="F42" s="33">
        <f t="array" ref="F42">MIN(IF(F7:F39&gt;=$T$2,F7:F39))</f>
        <v>21000</v>
      </c>
      <c r="G42" s="33">
        <f t="array" ref="G42">MIN(IF(G7:G39&gt;=$T$2,G7:G39))</f>
        <v>22700</v>
      </c>
      <c r="H42" s="33">
        <f t="array" ref="H42">MIN(IF(H7:H39&gt;=$T$2,H7:H39))</f>
        <v>24700</v>
      </c>
      <c r="I42" s="33">
        <f t="array" ref="I42">MIN(IF(I7:I39&gt;=$T$2,I7:I39))</f>
        <v>27000</v>
      </c>
      <c r="J42" s="33">
        <f t="array" ref="J42">MIN(IF(J7:J39&gt;=$T$2,J7:J39))</f>
        <v>28900</v>
      </c>
      <c r="K42" s="33">
        <f t="array" ref="K42">MIN(IF(K7:K39&gt;=$T$2,K7:K39))</f>
        <v>32100</v>
      </c>
      <c r="L42" s="33">
        <f t="array" ref="L42">MIN(IF(L7:L39&gt;=$T$2,L7:L39))</f>
        <v>33400</v>
      </c>
      <c r="M42" s="33">
        <f t="array" ref="M42">MIN(IF(M7:M39&gt;=$T$2,M7:M39))</f>
        <v>35800</v>
      </c>
      <c r="N42" s="33">
        <f t="array" ref="N42">MIN(IF(N7:N39&gt;=$T$2,N7:N39))</f>
        <v>39900</v>
      </c>
      <c r="O42" s="33">
        <f t="array" ref="O42">MIN(IF(O7:O39&gt;=$T$2,O7:O39))</f>
        <v>42600</v>
      </c>
      <c r="P42" s="33">
        <f t="array" ref="P42">MIN(IF(P7:P39&gt;=$T$2,P7:P39))</f>
        <v>56100</v>
      </c>
    </row>
    <row r="43" spans="1:21" s="31" customFormat="1" hidden="1" x14ac:dyDescent="0.3">
      <c r="A43" s="32" t="s">
        <v>98</v>
      </c>
      <c r="B43" s="33">
        <f t="array" ref="B43">MIN(IF(B7:B39&gt;=$S$3,B7:B39))</f>
        <v>17000</v>
      </c>
      <c r="C43" s="33">
        <f t="array" ref="C43">MIN(IF(C7:C39&gt;=$S$3,C7:C39))</f>
        <v>17600</v>
      </c>
      <c r="D43" s="33">
        <f t="array" ref="D43">MIN(IF(D7:D39&gt;=$S$3,D7:D39))</f>
        <v>18800</v>
      </c>
      <c r="E43" s="33">
        <f t="array" ref="E43">MIN(IF(E7:E39&gt;=$S$3,E7:E39))</f>
        <v>19700</v>
      </c>
      <c r="F43" s="33">
        <f t="array" ref="F43">MIN(IF(F7:F39&gt;=$S$3,F7:F39))</f>
        <v>21000</v>
      </c>
      <c r="G43" s="33">
        <f t="array" ref="G43">MIN(IF(G7:G39&gt;=$S$3,G7:G39))</f>
        <v>22700</v>
      </c>
      <c r="H43" s="33">
        <f t="array" ref="H43">MIN(IF(H7:H39&gt;=$S$3,H7:H39))</f>
        <v>24700</v>
      </c>
      <c r="I43" s="33">
        <f t="array" ref="I43">MIN(IF(I7:I39&gt;=$S$3,I7:I39))</f>
        <v>27000</v>
      </c>
      <c r="J43" s="33">
        <f t="array" ref="J43">MIN(IF(J7:J39&gt;=$S$3,J7:J39))</f>
        <v>28900</v>
      </c>
      <c r="K43" s="33">
        <f t="array" ref="K43">MIN(IF(K7:K39&gt;=$S$3,K7:K39))</f>
        <v>32100</v>
      </c>
      <c r="L43" s="33">
        <f t="array" ref="L43">MIN(IF(L7:L39&gt;=$S$3,L7:L39))</f>
        <v>33400</v>
      </c>
      <c r="M43" s="33">
        <f t="array" ref="M43">MIN(IF(M7:M39&gt;=$S$3,M7:M39))</f>
        <v>35800</v>
      </c>
      <c r="N43" s="33">
        <f t="array" ref="N43">MIN(IF(N7:N39&gt;=$S$3,N7:N39))</f>
        <v>39900</v>
      </c>
      <c r="O43" s="33">
        <f t="array" ref="O43">MIN(IF(O7:O39&gt;=$S$3,O7:O39))</f>
        <v>42600</v>
      </c>
      <c r="P43" s="33">
        <f t="array" ref="P43">MIN(IF(P7:P39&gt;=$S$3,P7:P39))</f>
        <v>56100</v>
      </c>
    </row>
    <row r="44" spans="1:21" s="31" customFormat="1" hidden="1" x14ac:dyDescent="0.3"/>
    <row r="45" spans="1:21" s="31" customFormat="1" x14ac:dyDescent="0.3"/>
  </sheetData>
  <sheetProtection algorithmName="SHA-512" hashValue="0bGgKME9Dwez8+fH4X1v2GeuusgV8q69BX6tP2GmzPddD7E13DVVwJhA2Qc8+eo0qHQlFXha3VIgPU8N+dEa/g==" saltValue="s7HSKZ6d/MSB5L3s0Mo1ow==" spinCount="100000" sheet="1" objects="1" scenarios="1"/>
  <mergeCells count="5">
    <mergeCell ref="A1:P1"/>
    <mergeCell ref="B2:C2"/>
    <mergeCell ref="D2:H2"/>
    <mergeCell ref="I2:L2"/>
    <mergeCell ref="M2:O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6"/>
  <sheetViews>
    <sheetView workbookViewId="0">
      <selection activeCell="G56" sqref="G56"/>
    </sheetView>
  </sheetViews>
  <sheetFormatPr defaultRowHeight="14.4" x14ac:dyDescent="0.3"/>
  <cols>
    <col min="1" max="1" width="18" customWidth="1"/>
    <col min="2" max="2" width="26.5546875" customWidth="1"/>
    <col min="3" max="4" width="16.6640625" customWidth="1"/>
    <col min="5" max="5" width="17.6640625" customWidth="1"/>
  </cols>
  <sheetData>
    <row r="1" spans="1:5" ht="12.75" customHeight="1" x14ac:dyDescent="0.3">
      <c r="A1" s="360" t="s">
        <v>123</v>
      </c>
      <c r="B1" s="360"/>
      <c r="C1" s="360"/>
      <c r="D1" s="360"/>
      <c r="E1" s="360"/>
    </row>
    <row r="2" spans="1:5" ht="12.75" customHeight="1" x14ac:dyDescent="0.3">
      <c r="A2" s="361" t="s">
        <v>124</v>
      </c>
      <c r="B2" s="361"/>
      <c r="C2" s="361"/>
      <c r="D2" s="361"/>
      <c r="E2" s="361"/>
    </row>
    <row r="3" spans="1:5" ht="12.75" customHeight="1" x14ac:dyDescent="0.3">
      <c r="A3" s="360" t="s">
        <v>125</v>
      </c>
      <c r="B3" s="360"/>
      <c r="C3" s="360"/>
      <c r="D3" s="360"/>
      <c r="E3" s="360"/>
    </row>
    <row r="4" spans="1:5" ht="12.75" customHeight="1" x14ac:dyDescent="0.3">
      <c r="A4" s="361" t="s">
        <v>126</v>
      </c>
      <c r="B4" s="361"/>
      <c r="C4" s="361"/>
      <c r="D4" s="361"/>
      <c r="E4" s="361"/>
    </row>
    <row r="5" spans="1:5" ht="12.75" customHeight="1" x14ac:dyDescent="0.3">
      <c r="A5" s="327" t="s">
        <v>127</v>
      </c>
      <c r="B5" s="327"/>
      <c r="C5" s="327" t="s">
        <v>128</v>
      </c>
      <c r="D5" s="327"/>
      <c r="E5" s="327"/>
    </row>
    <row r="6" spans="1:5" ht="12.75" customHeight="1" x14ac:dyDescent="0.3">
      <c r="A6" s="346"/>
      <c r="B6" s="347"/>
      <c r="C6" s="348">
        <f>INPUT!B2</f>
        <v>0</v>
      </c>
      <c r="D6" s="349"/>
      <c r="E6" s="350"/>
    </row>
    <row r="7" spans="1:5" ht="12.75" customHeight="1" x14ac:dyDescent="0.3">
      <c r="A7" s="351"/>
      <c r="B7" s="344"/>
      <c r="C7" s="352">
        <f>INPUT!B4</f>
        <v>0</v>
      </c>
      <c r="D7" s="342"/>
      <c r="E7" s="353"/>
    </row>
    <row r="8" spans="1:5" ht="12.75" customHeight="1" x14ac:dyDescent="0.3">
      <c r="A8" s="351"/>
      <c r="B8" s="344"/>
      <c r="C8" s="51"/>
      <c r="D8" s="52"/>
      <c r="E8" s="53"/>
    </row>
    <row r="9" spans="1:5" ht="12.75" customHeight="1" x14ac:dyDescent="0.3">
      <c r="A9" s="354"/>
      <c r="B9" s="355"/>
      <c r="C9" s="54"/>
      <c r="D9" s="55"/>
      <c r="E9" s="56"/>
    </row>
    <row r="10" spans="1:5" ht="12.75" customHeight="1" x14ac:dyDescent="0.3">
      <c r="A10" s="356" t="s">
        <v>129</v>
      </c>
      <c r="B10" s="356"/>
      <c r="C10" s="57" t="s">
        <v>130</v>
      </c>
      <c r="D10" s="357" t="s">
        <v>131</v>
      </c>
      <c r="E10" s="358"/>
    </row>
    <row r="11" spans="1:5" ht="12.75" customHeight="1" x14ac:dyDescent="0.3">
      <c r="A11" s="58"/>
      <c r="B11" s="58"/>
      <c r="C11" s="57"/>
      <c r="D11" s="357">
        <f>INPUT!B5</f>
        <v>0</v>
      </c>
      <c r="E11" s="358"/>
    </row>
    <row r="12" spans="1:5" ht="12.75" customHeight="1" x14ac:dyDescent="0.3">
      <c r="A12" s="52" t="s">
        <v>132</v>
      </c>
      <c r="B12" s="52"/>
      <c r="C12" s="57" t="s">
        <v>133</v>
      </c>
      <c r="D12" s="357" t="s">
        <v>15</v>
      </c>
      <c r="E12" s="358"/>
    </row>
    <row r="13" spans="1:5" ht="12.75" customHeight="1" x14ac:dyDescent="0.3">
      <c r="A13" s="52" t="s">
        <v>134</v>
      </c>
      <c r="B13" s="52"/>
      <c r="C13" s="359" t="s">
        <v>219</v>
      </c>
      <c r="D13" s="57" t="s">
        <v>135</v>
      </c>
      <c r="E13" s="57" t="s">
        <v>136</v>
      </c>
    </row>
    <row r="14" spans="1:5" ht="12.75" customHeight="1" x14ac:dyDescent="0.3">
      <c r="A14" s="52"/>
      <c r="B14" s="52"/>
      <c r="C14" s="359"/>
      <c r="D14" s="59">
        <v>43922</v>
      </c>
      <c r="E14" s="59">
        <v>44286</v>
      </c>
    </row>
    <row r="15" spans="1:5" ht="12.75" customHeight="1" x14ac:dyDescent="0.3">
      <c r="A15" s="52" t="s">
        <v>137</v>
      </c>
      <c r="B15" s="52"/>
      <c r="C15" s="52"/>
      <c r="D15" s="52"/>
      <c r="E15" s="52"/>
    </row>
    <row r="16" spans="1:5" ht="12.75" customHeight="1" x14ac:dyDescent="0.3">
      <c r="A16" s="52" t="s">
        <v>138</v>
      </c>
      <c r="B16" s="52"/>
      <c r="C16" s="52"/>
      <c r="D16" s="52"/>
      <c r="E16" s="52"/>
    </row>
    <row r="17" spans="1:5" ht="12.75" customHeight="1" x14ac:dyDescent="0.3">
      <c r="A17" s="324" t="s">
        <v>139</v>
      </c>
      <c r="B17" s="345" t="s">
        <v>140</v>
      </c>
      <c r="C17" s="345"/>
      <c r="D17" s="345" t="s">
        <v>141</v>
      </c>
      <c r="E17" s="345" t="s">
        <v>142</v>
      </c>
    </row>
    <row r="18" spans="1:5" ht="12.75" customHeight="1" x14ac:dyDescent="0.3">
      <c r="A18" s="324"/>
      <c r="B18" s="345"/>
      <c r="C18" s="345"/>
      <c r="D18" s="345"/>
      <c r="E18" s="345"/>
    </row>
    <row r="19" spans="1:5" ht="12.75" customHeight="1" x14ac:dyDescent="0.3">
      <c r="A19" s="324"/>
      <c r="B19" s="345"/>
      <c r="C19" s="345"/>
      <c r="D19" s="345"/>
      <c r="E19" s="345"/>
    </row>
    <row r="20" spans="1:5" ht="12.75" customHeight="1" x14ac:dyDescent="0.3">
      <c r="A20" s="58" t="s">
        <v>143</v>
      </c>
      <c r="B20" s="58"/>
      <c r="C20" s="58"/>
      <c r="D20" s="58"/>
      <c r="E20" s="58"/>
    </row>
    <row r="21" spans="1:5" ht="12.75" customHeight="1" x14ac:dyDescent="0.3">
      <c r="A21" s="58" t="s">
        <v>144</v>
      </c>
      <c r="B21" s="58"/>
      <c r="C21" s="58"/>
      <c r="D21" s="58"/>
      <c r="E21" s="58"/>
    </row>
    <row r="22" spans="1:5" ht="12.75" customHeight="1" x14ac:dyDescent="0.3">
      <c r="A22" s="58" t="s">
        <v>145</v>
      </c>
      <c r="B22" s="58"/>
      <c r="C22" s="58"/>
      <c r="D22" s="58"/>
      <c r="E22" s="58"/>
    </row>
    <row r="23" spans="1:5" ht="12.75" customHeight="1" x14ac:dyDescent="0.3">
      <c r="A23" s="58" t="s">
        <v>146</v>
      </c>
      <c r="B23" s="58"/>
      <c r="C23" s="58"/>
      <c r="D23" s="58"/>
      <c r="E23" s="58"/>
    </row>
    <row r="24" spans="1:5" ht="12.75" customHeight="1" x14ac:dyDescent="0.3">
      <c r="A24" s="58" t="s">
        <v>33</v>
      </c>
      <c r="B24" s="58"/>
      <c r="C24" s="58"/>
      <c r="D24" s="58"/>
      <c r="E24" s="58"/>
    </row>
    <row r="25" spans="1:5" ht="12.75" customHeight="1" x14ac:dyDescent="0.3">
      <c r="A25" s="334" t="s">
        <v>147</v>
      </c>
      <c r="B25" s="334"/>
      <c r="C25" s="334"/>
      <c r="D25" s="334"/>
      <c r="E25" s="334"/>
    </row>
    <row r="26" spans="1:5" ht="12.75" customHeight="1" x14ac:dyDescent="0.3">
      <c r="A26" s="335" t="s">
        <v>148</v>
      </c>
      <c r="B26" s="335"/>
      <c r="C26" s="335"/>
      <c r="D26" s="335"/>
      <c r="E26" s="335"/>
    </row>
    <row r="27" spans="1:5" ht="12.75" customHeight="1" x14ac:dyDescent="0.3">
      <c r="A27" s="58"/>
      <c r="B27" s="58"/>
      <c r="C27" s="60" t="s">
        <v>149</v>
      </c>
      <c r="D27" s="60" t="s">
        <v>149</v>
      </c>
      <c r="E27" s="60" t="s">
        <v>149</v>
      </c>
    </row>
    <row r="28" spans="1:5" ht="12.75" customHeight="1" x14ac:dyDescent="0.3">
      <c r="A28" s="336" t="s">
        <v>150</v>
      </c>
      <c r="B28" s="336"/>
      <c r="C28" s="61"/>
      <c r="D28" s="61"/>
      <c r="E28" s="61"/>
    </row>
    <row r="29" spans="1:5" ht="12.75" customHeight="1" x14ac:dyDescent="0.3">
      <c r="A29" s="337" t="s">
        <v>151</v>
      </c>
      <c r="B29" s="338"/>
      <c r="C29" s="62">
        <f>TAX!C4</f>
        <v>0</v>
      </c>
      <c r="D29" s="63"/>
      <c r="E29" s="63"/>
    </row>
    <row r="30" spans="1:5" ht="12.75" customHeight="1" x14ac:dyDescent="0.3">
      <c r="A30" s="339" t="s">
        <v>152</v>
      </c>
      <c r="B30" s="339"/>
      <c r="C30" s="64"/>
      <c r="D30" s="63"/>
      <c r="E30" s="63"/>
    </row>
    <row r="31" spans="1:5" ht="12.75" customHeight="1" x14ac:dyDescent="0.3">
      <c r="A31" s="339" t="s">
        <v>153</v>
      </c>
      <c r="B31" s="339"/>
      <c r="C31" s="64"/>
      <c r="D31" s="63"/>
      <c r="E31" s="63"/>
    </row>
    <row r="32" spans="1:5" ht="12.75" customHeight="1" x14ac:dyDescent="0.3">
      <c r="A32" s="340" t="s">
        <v>154</v>
      </c>
      <c r="B32" s="341"/>
      <c r="C32" s="63"/>
      <c r="D32" s="64">
        <f>SUM(C29:C31)</f>
        <v>0</v>
      </c>
      <c r="E32" s="63"/>
    </row>
    <row r="33" spans="1:5" ht="12.75" customHeight="1" x14ac:dyDescent="0.3">
      <c r="A33" s="52"/>
      <c r="B33" s="52"/>
      <c r="C33" s="52"/>
      <c r="D33" s="52"/>
      <c r="E33" s="52"/>
    </row>
    <row r="34" spans="1:5" ht="12.75" customHeight="1" x14ac:dyDescent="0.3">
      <c r="A34" s="52" t="s">
        <v>155</v>
      </c>
      <c r="B34" s="52"/>
      <c r="C34" s="52"/>
      <c r="D34" s="52"/>
      <c r="E34" s="52"/>
    </row>
    <row r="35" spans="1:5" ht="12.75" customHeight="1" x14ac:dyDescent="0.3">
      <c r="A35" s="58" t="s">
        <v>156</v>
      </c>
      <c r="B35" s="58" t="s">
        <v>149</v>
      </c>
      <c r="C35" s="61"/>
      <c r="D35" s="61"/>
      <c r="E35" s="61"/>
    </row>
    <row r="36" spans="1:5" ht="12.75" customHeight="1" x14ac:dyDescent="0.3">
      <c r="A36" s="58" t="s">
        <v>1</v>
      </c>
      <c r="B36" s="58">
        <f>INPUT!D23</f>
        <v>0</v>
      </c>
      <c r="C36" s="61"/>
      <c r="D36" s="61"/>
      <c r="E36" s="61"/>
    </row>
    <row r="37" spans="1:5" ht="12.75" customHeight="1" x14ac:dyDescent="0.3">
      <c r="A37" s="58"/>
      <c r="B37" s="58"/>
      <c r="C37" s="61"/>
      <c r="D37" s="61"/>
      <c r="E37" s="61"/>
    </row>
    <row r="38" spans="1:5" ht="12.75" customHeight="1" x14ac:dyDescent="0.3">
      <c r="A38" s="58"/>
      <c r="B38" s="58"/>
      <c r="C38" s="61"/>
      <c r="D38" s="61"/>
      <c r="E38" s="61"/>
    </row>
    <row r="39" spans="1:5" ht="12.75" customHeight="1" x14ac:dyDescent="0.3">
      <c r="A39" s="58"/>
      <c r="B39" s="58"/>
      <c r="C39" s="61" t="s">
        <v>157</v>
      </c>
      <c r="D39" s="58">
        <f>SUM(B36:B39)</f>
        <v>0</v>
      </c>
      <c r="E39" s="61"/>
    </row>
    <row r="40" spans="1:5" ht="12.75" customHeight="1" x14ac:dyDescent="0.3">
      <c r="A40" s="52"/>
      <c r="B40" s="52"/>
      <c r="C40" s="52"/>
      <c r="D40" s="52"/>
      <c r="E40" s="52"/>
    </row>
    <row r="41" spans="1:5" ht="12.75" customHeight="1" x14ac:dyDescent="0.3">
      <c r="A41" s="52" t="s">
        <v>158</v>
      </c>
      <c r="B41" s="52"/>
      <c r="C41" s="61"/>
      <c r="D41" s="58">
        <f>D32-D39</f>
        <v>0</v>
      </c>
      <c r="E41" s="61"/>
    </row>
    <row r="42" spans="1:5" ht="12.75" customHeight="1" x14ac:dyDescent="0.3">
      <c r="A42" s="52" t="s">
        <v>159</v>
      </c>
      <c r="B42" s="52"/>
      <c r="C42" s="61"/>
      <c r="D42" s="61"/>
      <c r="E42" s="61"/>
    </row>
    <row r="43" spans="1:5" ht="12.75" customHeight="1" x14ac:dyDescent="0.3">
      <c r="A43" s="52" t="s">
        <v>160</v>
      </c>
      <c r="B43" s="52"/>
      <c r="C43" s="58"/>
      <c r="D43" s="61"/>
      <c r="E43" s="61"/>
    </row>
    <row r="44" spans="1:5" ht="12.75" customHeight="1" x14ac:dyDescent="0.3">
      <c r="A44" s="52" t="s">
        <v>161</v>
      </c>
      <c r="B44" s="52"/>
      <c r="C44" s="65">
        <f>TAX!C7</f>
        <v>0</v>
      </c>
      <c r="D44" s="61"/>
      <c r="E44" s="61"/>
    </row>
    <row r="45" spans="1:5" ht="12.75" customHeight="1" x14ac:dyDescent="0.3">
      <c r="A45" s="52" t="s">
        <v>162</v>
      </c>
      <c r="B45" s="52"/>
      <c r="C45" s="61"/>
      <c r="D45" s="58">
        <f>C43+C44</f>
        <v>0</v>
      </c>
      <c r="E45" s="61"/>
    </row>
    <row r="46" spans="1:5" ht="12.75" customHeight="1" x14ac:dyDescent="0.3">
      <c r="A46" s="52" t="s">
        <v>163</v>
      </c>
      <c r="B46" s="52"/>
      <c r="C46" s="61"/>
      <c r="D46" s="61"/>
      <c r="E46" s="58">
        <f>D41-D45</f>
        <v>0</v>
      </c>
    </row>
    <row r="47" spans="1:5" ht="12.75" customHeight="1" x14ac:dyDescent="0.3">
      <c r="A47" s="52"/>
      <c r="B47" s="52"/>
      <c r="C47" s="61"/>
      <c r="D47" s="61"/>
      <c r="E47" s="61"/>
    </row>
    <row r="48" spans="1:5" ht="12.75" customHeight="1" x14ac:dyDescent="0.3">
      <c r="A48" s="52" t="s">
        <v>164</v>
      </c>
      <c r="B48" s="52"/>
      <c r="C48" s="61"/>
      <c r="D48" s="61"/>
      <c r="E48" s="61"/>
    </row>
    <row r="49" spans="1:5" ht="12.75" customHeight="1" x14ac:dyDescent="0.3">
      <c r="A49" s="58" t="s">
        <v>165</v>
      </c>
      <c r="B49" s="58" t="s">
        <v>149</v>
      </c>
      <c r="C49" s="61"/>
      <c r="D49" s="61"/>
      <c r="E49" s="61"/>
    </row>
    <row r="50" spans="1:5" ht="12.75" customHeight="1" x14ac:dyDescent="0.3">
      <c r="A50" s="58" t="s">
        <v>40</v>
      </c>
      <c r="B50" s="65">
        <f>INPUT!J31</f>
        <v>0</v>
      </c>
      <c r="C50" s="61"/>
      <c r="D50" s="61"/>
      <c r="E50" s="61"/>
    </row>
    <row r="51" spans="1:5" ht="12.75" customHeight="1" x14ac:dyDescent="0.3">
      <c r="A51" s="58"/>
      <c r="B51" s="58"/>
      <c r="C51" s="61"/>
      <c r="D51" s="61"/>
      <c r="E51" s="61"/>
    </row>
    <row r="52" spans="1:5" ht="12.75" customHeight="1" x14ac:dyDescent="0.3">
      <c r="A52" s="58"/>
      <c r="B52" s="58"/>
      <c r="C52" s="61"/>
      <c r="D52" s="58">
        <f>SUM(B50:B52)</f>
        <v>0</v>
      </c>
      <c r="E52" s="61"/>
    </row>
    <row r="53" spans="1:5" ht="12.75" customHeight="1" x14ac:dyDescent="0.3">
      <c r="A53" s="52"/>
      <c r="B53" s="52"/>
      <c r="C53" s="61"/>
      <c r="D53" s="61"/>
      <c r="E53" s="61"/>
    </row>
    <row r="54" spans="1:5" ht="12.75" customHeight="1" x14ac:dyDescent="0.3">
      <c r="A54" s="52" t="s">
        <v>166</v>
      </c>
      <c r="B54" s="52"/>
      <c r="C54" s="61"/>
      <c r="D54" s="61"/>
      <c r="E54" s="58">
        <f>E46+D52</f>
        <v>0</v>
      </c>
    </row>
    <row r="55" spans="1:5" ht="12.75" customHeight="1" x14ac:dyDescent="0.3">
      <c r="A55" s="52"/>
      <c r="B55" s="52"/>
      <c r="C55" s="52"/>
      <c r="D55" s="52"/>
      <c r="E55" s="52"/>
    </row>
    <row r="56" spans="1:5" ht="12.75" customHeight="1" x14ac:dyDescent="0.3">
      <c r="A56" s="52"/>
      <c r="B56" s="52"/>
      <c r="C56" s="52"/>
      <c r="D56" s="52"/>
      <c r="E56" s="66" t="s">
        <v>167</v>
      </c>
    </row>
    <row r="57" spans="1:5" ht="12.75" customHeight="1" x14ac:dyDescent="0.3">
      <c r="A57" s="52"/>
      <c r="B57" s="52"/>
      <c r="C57" s="52"/>
      <c r="D57" s="52"/>
      <c r="E57" s="52"/>
    </row>
    <row r="58" spans="1:5" ht="12.75" customHeight="1" x14ac:dyDescent="0.3">
      <c r="A58" s="52"/>
      <c r="B58" s="52"/>
      <c r="C58" s="52"/>
      <c r="D58" s="52"/>
      <c r="E58" s="52"/>
    </row>
    <row r="59" spans="1:5" ht="12.75" customHeight="1" x14ac:dyDescent="0.3">
      <c r="A59" s="52"/>
      <c r="B59" s="52"/>
      <c r="C59" s="52"/>
      <c r="D59" s="52"/>
      <c r="E59" s="52"/>
    </row>
    <row r="60" spans="1:5" ht="12.75" customHeight="1" x14ac:dyDescent="0.3">
      <c r="A60" s="342" t="s">
        <v>168</v>
      </c>
      <c r="B60" s="342"/>
      <c r="C60" s="342"/>
      <c r="D60" s="342"/>
      <c r="E60" s="342"/>
    </row>
    <row r="61" spans="1:5" ht="12.75" customHeight="1" x14ac:dyDescent="0.3">
      <c r="A61" s="52" t="s">
        <v>169</v>
      </c>
      <c r="B61" s="52"/>
      <c r="C61" s="52"/>
      <c r="D61" s="52"/>
      <c r="E61" s="52"/>
    </row>
    <row r="62" spans="1:5" ht="12.75" customHeight="1" x14ac:dyDescent="0.3">
      <c r="A62" s="52" t="s">
        <v>170</v>
      </c>
      <c r="B62" s="52"/>
      <c r="C62" s="61"/>
      <c r="D62" s="61"/>
      <c r="E62" s="61"/>
    </row>
    <row r="63" spans="1:5" ht="12.75" customHeight="1" x14ac:dyDescent="0.3">
      <c r="A63" s="52"/>
      <c r="B63" s="52"/>
      <c r="C63" s="61"/>
      <c r="D63" s="61"/>
      <c r="E63" s="61"/>
    </row>
    <row r="64" spans="1:5" ht="12.75" customHeight="1" x14ac:dyDescent="0.3">
      <c r="A64" s="52" t="s">
        <v>171</v>
      </c>
      <c r="B64" s="52"/>
      <c r="C64" s="61"/>
      <c r="D64" s="58" t="s">
        <v>172</v>
      </c>
      <c r="E64" s="58" t="s">
        <v>173</v>
      </c>
    </row>
    <row r="65" spans="1:5" ht="12.75" customHeight="1" x14ac:dyDescent="0.3">
      <c r="A65" s="52" t="s">
        <v>174</v>
      </c>
      <c r="B65" s="52" t="s">
        <v>175</v>
      </c>
      <c r="C65" s="61"/>
      <c r="D65" s="65">
        <f>INPUT!J2</f>
        <v>0</v>
      </c>
      <c r="E65" s="58">
        <f>D65</f>
        <v>0</v>
      </c>
    </row>
    <row r="66" spans="1:5" ht="12.75" customHeight="1" x14ac:dyDescent="0.3">
      <c r="A66" s="52" t="s">
        <v>176</v>
      </c>
      <c r="B66" s="52" t="s">
        <v>177</v>
      </c>
      <c r="C66" s="61"/>
      <c r="D66" s="65">
        <f>INPUT!J3</f>
        <v>0</v>
      </c>
      <c r="E66" s="58">
        <f t="shared" ref="E66:E74" si="0">D66</f>
        <v>0</v>
      </c>
    </row>
    <row r="67" spans="1:5" ht="12.75" customHeight="1" x14ac:dyDescent="0.3">
      <c r="A67" s="52" t="s">
        <v>178</v>
      </c>
      <c r="B67" s="52" t="s">
        <v>222</v>
      </c>
      <c r="C67" s="61"/>
      <c r="D67" s="65">
        <f>INPUT!J8</f>
        <v>0</v>
      </c>
      <c r="E67" s="58">
        <f t="shared" si="0"/>
        <v>0</v>
      </c>
    </row>
    <row r="68" spans="1:5" ht="12.75" customHeight="1" x14ac:dyDescent="0.3">
      <c r="A68" s="52" t="s">
        <v>179</v>
      </c>
      <c r="B68" s="52" t="s">
        <v>180</v>
      </c>
      <c r="C68" s="61"/>
      <c r="D68" s="65">
        <f>INPUT!J4</f>
        <v>0</v>
      </c>
      <c r="E68" s="58">
        <f t="shared" si="0"/>
        <v>0</v>
      </c>
    </row>
    <row r="69" spans="1:5" ht="12.75" customHeight="1" x14ac:dyDescent="0.3">
      <c r="A69" s="52" t="s">
        <v>181</v>
      </c>
      <c r="B69" s="52" t="s">
        <v>220</v>
      </c>
      <c r="C69" s="61"/>
      <c r="D69" s="65">
        <f>INPUT!J5</f>
        <v>0</v>
      </c>
      <c r="E69" s="58">
        <f t="shared" si="0"/>
        <v>0</v>
      </c>
    </row>
    <row r="70" spans="1:5" ht="12.75" customHeight="1" x14ac:dyDescent="0.3">
      <c r="A70" s="52" t="s">
        <v>182</v>
      </c>
      <c r="B70" s="52" t="s">
        <v>221</v>
      </c>
      <c r="C70" s="61"/>
      <c r="D70" s="65">
        <f>INPUT!J9</f>
        <v>0</v>
      </c>
      <c r="E70" s="58">
        <f t="shared" si="0"/>
        <v>0</v>
      </c>
    </row>
    <row r="71" spans="1:5" ht="12.75" customHeight="1" x14ac:dyDescent="0.3">
      <c r="A71" s="52" t="s">
        <v>183</v>
      </c>
      <c r="B71" s="52" t="s">
        <v>19</v>
      </c>
      <c r="C71" s="61"/>
      <c r="D71" s="65">
        <f>INPUT!J7</f>
        <v>0</v>
      </c>
      <c r="E71" s="58">
        <f t="shared" si="0"/>
        <v>0</v>
      </c>
    </row>
    <row r="72" spans="1:5" ht="12.75" customHeight="1" x14ac:dyDescent="0.3">
      <c r="A72" s="52" t="s">
        <v>184</v>
      </c>
      <c r="B72" s="52" t="s">
        <v>223</v>
      </c>
      <c r="C72" s="61"/>
      <c r="D72" s="65">
        <f>INPUT!J11</f>
        <v>0</v>
      </c>
      <c r="E72" s="58">
        <f t="shared" si="0"/>
        <v>0</v>
      </c>
    </row>
    <row r="73" spans="1:5" ht="12.75" customHeight="1" x14ac:dyDescent="0.3">
      <c r="A73" s="52" t="s">
        <v>185</v>
      </c>
      <c r="B73" s="52"/>
      <c r="C73" s="61"/>
      <c r="D73" s="58"/>
      <c r="E73" s="58">
        <f t="shared" si="0"/>
        <v>0</v>
      </c>
    </row>
    <row r="74" spans="1:5" ht="12.75" customHeight="1" x14ac:dyDescent="0.3">
      <c r="A74" s="52" t="s">
        <v>186</v>
      </c>
      <c r="B74" s="52"/>
      <c r="C74" s="61"/>
      <c r="D74" s="58"/>
      <c r="E74" s="58">
        <f t="shared" si="0"/>
        <v>0</v>
      </c>
    </row>
    <row r="75" spans="1:5" ht="12.75" customHeight="1" x14ac:dyDescent="0.3">
      <c r="A75" s="52"/>
      <c r="B75" s="52"/>
      <c r="C75" s="58"/>
      <c r="D75" s="58">
        <f>SUM(D65:D74)</f>
        <v>0</v>
      </c>
      <c r="E75" s="58">
        <f>IF(D75&gt;150000,150000,D75)</f>
        <v>0</v>
      </c>
    </row>
    <row r="76" spans="1:5" ht="12.75" customHeight="1" x14ac:dyDescent="0.3">
      <c r="A76" s="343" t="s">
        <v>187</v>
      </c>
      <c r="B76" s="343"/>
      <c r="C76" s="343"/>
      <c r="D76" s="343"/>
      <c r="E76" s="343"/>
    </row>
    <row r="77" spans="1:5" ht="12.75" customHeight="1" x14ac:dyDescent="0.3">
      <c r="A77" s="52"/>
      <c r="B77" s="52"/>
      <c r="C77" s="52"/>
      <c r="D77" s="52"/>
      <c r="E77" s="52"/>
    </row>
    <row r="78" spans="1:5" ht="12.75" customHeight="1" x14ac:dyDescent="0.3">
      <c r="A78" s="336" t="s">
        <v>188</v>
      </c>
      <c r="B78" s="336"/>
      <c r="C78" s="336"/>
      <c r="D78" s="336"/>
      <c r="E78" s="336"/>
    </row>
    <row r="79" spans="1:5" ht="12.75" customHeight="1" x14ac:dyDescent="0.3">
      <c r="A79" s="52"/>
      <c r="B79" s="52"/>
      <c r="C79" s="52"/>
      <c r="D79" s="52"/>
      <c r="E79" s="52"/>
    </row>
    <row r="80" spans="1:5" ht="12.75" customHeight="1" x14ac:dyDescent="0.3">
      <c r="A80" s="52"/>
      <c r="B80" s="52"/>
      <c r="C80" s="52"/>
      <c r="D80" s="52"/>
      <c r="E80" s="52"/>
    </row>
    <row r="81" spans="1:5" ht="12.75" customHeight="1" x14ac:dyDescent="0.3">
      <c r="A81" s="336" t="s">
        <v>189</v>
      </c>
      <c r="B81" s="344"/>
      <c r="C81" s="58" t="s">
        <v>172</v>
      </c>
      <c r="D81" s="58" t="s">
        <v>190</v>
      </c>
      <c r="E81" s="58" t="s">
        <v>173</v>
      </c>
    </row>
    <row r="82" spans="1:5" ht="12.75" customHeight="1" x14ac:dyDescent="0.3">
      <c r="A82" s="52"/>
      <c r="B82" s="52"/>
      <c r="C82" s="61"/>
      <c r="D82" s="61"/>
      <c r="E82" s="61"/>
    </row>
    <row r="83" spans="1:5" ht="12.75" customHeight="1" x14ac:dyDescent="0.3">
      <c r="A83" s="52" t="s">
        <v>191</v>
      </c>
      <c r="B83" s="52" t="s">
        <v>224</v>
      </c>
      <c r="C83" s="58">
        <v>11065</v>
      </c>
      <c r="D83" s="58"/>
      <c r="E83" s="58"/>
    </row>
    <row r="84" spans="1:5" ht="12.75" customHeight="1" x14ac:dyDescent="0.3">
      <c r="A84" s="52" t="s">
        <v>192</v>
      </c>
      <c r="B84" s="52"/>
      <c r="C84" s="58"/>
      <c r="D84" s="58"/>
      <c r="E84" s="58"/>
    </row>
    <row r="85" spans="1:5" ht="12.75" customHeight="1" x14ac:dyDescent="0.3">
      <c r="A85" s="52" t="s">
        <v>193</v>
      </c>
      <c r="B85" s="52"/>
      <c r="C85" s="58"/>
      <c r="D85" s="58"/>
      <c r="E85" s="58"/>
    </row>
    <row r="86" spans="1:5" ht="12.75" customHeight="1" x14ac:dyDescent="0.3">
      <c r="A86" s="52" t="s">
        <v>194</v>
      </c>
      <c r="B86" s="52"/>
      <c r="C86" s="58"/>
      <c r="D86" s="58"/>
      <c r="E86" s="58"/>
    </row>
    <row r="87" spans="1:5" ht="12.75" customHeight="1" x14ac:dyDescent="0.3">
      <c r="A87" s="52" t="s">
        <v>195</v>
      </c>
      <c r="B87" s="52"/>
      <c r="C87" s="58"/>
      <c r="D87" s="58"/>
      <c r="E87" s="58"/>
    </row>
    <row r="88" spans="1:5" ht="12.75" customHeight="1" x14ac:dyDescent="0.3">
      <c r="A88" s="52"/>
      <c r="B88" s="52"/>
      <c r="C88" s="58">
        <f>SUM(C83:C87)</f>
        <v>11065</v>
      </c>
      <c r="D88" s="58">
        <f t="shared" ref="D88:E88" si="1">SUM(D83:D87)</f>
        <v>0</v>
      </c>
      <c r="E88" s="58">
        <f t="shared" si="1"/>
        <v>0</v>
      </c>
    </row>
    <row r="89" spans="1:5" ht="12.75" customHeight="1" x14ac:dyDescent="0.3">
      <c r="A89" s="52" t="s">
        <v>196</v>
      </c>
      <c r="B89" s="52"/>
      <c r="C89" s="61"/>
      <c r="D89" s="61"/>
      <c r="E89" s="58">
        <f>E75+E88</f>
        <v>0</v>
      </c>
    </row>
    <row r="90" spans="1:5" ht="12.75" customHeight="1" x14ac:dyDescent="0.3">
      <c r="A90" s="52"/>
      <c r="B90" s="52"/>
      <c r="C90" s="52"/>
      <c r="D90" s="52"/>
      <c r="E90" s="52"/>
    </row>
    <row r="91" spans="1:5" ht="12.75" customHeight="1" x14ac:dyDescent="0.3">
      <c r="A91" s="52" t="s">
        <v>197</v>
      </c>
      <c r="B91" s="52"/>
      <c r="C91" s="61"/>
      <c r="D91" s="61"/>
      <c r="E91" s="65">
        <f>TAX!C14</f>
        <v>-50000</v>
      </c>
    </row>
    <row r="92" spans="1:5" ht="12.75" customHeight="1" x14ac:dyDescent="0.3">
      <c r="A92" s="52" t="s">
        <v>198</v>
      </c>
      <c r="B92" s="52"/>
      <c r="C92" s="61"/>
      <c r="D92" s="61"/>
      <c r="E92" s="67">
        <f>TAX!C24</f>
        <v>0</v>
      </c>
    </row>
    <row r="93" spans="1:5" ht="12.75" customHeight="1" x14ac:dyDescent="0.3">
      <c r="A93" s="52" t="s">
        <v>199</v>
      </c>
      <c r="B93" s="52"/>
      <c r="C93" s="61"/>
      <c r="D93" s="61"/>
      <c r="E93" s="58">
        <f>TAX!C28</f>
        <v>0</v>
      </c>
    </row>
    <row r="94" spans="1:5" ht="12.75" customHeight="1" x14ac:dyDescent="0.3">
      <c r="A94" s="52" t="s">
        <v>200</v>
      </c>
      <c r="B94" s="52"/>
      <c r="C94" s="61"/>
      <c r="D94" s="61"/>
      <c r="E94" s="65">
        <f>TAX!C29</f>
        <v>0</v>
      </c>
    </row>
    <row r="95" spans="1:5" ht="12.75" customHeight="1" x14ac:dyDescent="0.3">
      <c r="A95" s="52" t="s">
        <v>201</v>
      </c>
      <c r="B95" s="52"/>
      <c r="C95" s="61"/>
      <c r="D95" s="61"/>
      <c r="E95" s="58"/>
    </row>
    <row r="96" spans="1:5" ht="12.75" customHeight="1" x14ac:dyDescent="0.3">
      <c r="A96" s="52" t="s">
        <v>202</v>
      </c>
      <c r="B96" s="52"/>
      <c r="C96" s="61"/>
      <c r="D96" s="61"/>
      <c r="E96" s="65">
        <f>E94-E95</f>
        <v>0</v>
      </c>
    </row>
    <row r="97" spans="1:5" ht="12.75" customHeight="1" x14ac:dyDescent="0.3">
      <c r="A97" s="333" t="s">
        <v>203</v>
      </c>
      <c r="B97" s="333"/>
      <c r="C97" s="333"/>
      <c r="D97" s="333"/>
      <c r="E97" s="333"/>
    </row>
    <row r="98" spans="1:5" ht="12.75" customHeight="1" x14ac:dyDescent="0.3">
      <c r="A98" s="328" t="s">
        <v>204</v>
      </c>
      <c r="B98" s="328"/>
      <c r="C98" s="328"/>
      <c r="D98" s="328"/>
      <c r="E98" s="328"/>
    </row>
    <row r="99" spans="1:5" ht="12.75" customHeight="1" x14ac:dyDescent="0.3">
      <c r="A99" s="328"/>
      <c r="B99" s="328"/>
      <c r="C99" s="328"/>
      <c r="D99" s="328"/>
      <c r="E99" s="328"/>
    </row>
    <row r="100" spans="1:5" ht="28.5" customHeight="1" x14ac:dyDescent="0.3">
      <c r="A100" s="328"/>
      <c r="B100" s="328"/>
      <c r="C100" s="328"/>
      <c r="D100" s="328"/>
      <c r="E100" s="328"/>
    </row>
    <row r="101" spans="1:5" ht="12.75" customHeight="1" x14ac:dyDescent="0.3">
      <c r="A101" s="329" t="s">
        <v>205</v>
      </c>
      <c r="B101" s="329" t="s">
        <v>206</v>
      </c>
      <c r="C101" s="327"/>
      <c r="D101" s="327"/>
      <c r="E101" s="327"/>
    </row>
    <row r="102" spans="1:5" ht="12.75" customHeight="1" x14ac:dyDescent="0.3">
      <c r="A102" s="329"/>
      <c r="B102" s="329"/>
      <c r="C102" s="327"/>
      <c r="D102" s="327"/>
      <c r="E102" s="327"/>
    </row>
    <row r="103" spans="1:5" ht="12.75" customHeight="1" x14ac:dyDescent="0.3">
      <c r="A103" s="330" t="s">
        <v>207</v>
      </c>
      <c r="B103" s="330"/>
      <c r="C103" s="327"/>
      <c r="D103" s="327"/>
      <c r="E103" s="327"/>
    </row>
    <row r="104" spans="1:5" ht="12.75" customHeight="1" x14ac:dyDescent="0.3">
      <c r="A104" s="331"/>
      <c r="B104" s="331"/>
      <c r="C104" s="327"/>
      <c r="D104" s="327"/>
      <c r="E104" s="327"/>
    </row>
    <row r="105" spans="1:5" ht="12.75" customHeight="1" x14ac:dyDescent="0.3">
      <c r="A105" s="58"/>
      <c r="B105" s="58"/>
      <c r="C105" s="332" t="s">
        <v>208</v>
      </c>
      <c r="D105" s="332"/>
      <c r="E105" s="332"/>
    </row>
    <row r="106" spans="1:5" ht="12.75" customHeight="1" x14ac:dyDescent="0.3">
      <c r="A106" s="332" t="s">
        <v>209</v>
      </c>
      <c r="B106" s="332"/>
      <c r="C106" s="332" t="s">
        <v>210</v>
      </c>
      <c r="D106" s="332"/>
      <c r="E106" s="332"/>
    </row>
    <row r="107" spans="1:5" ht="12.75" customHeight="1" x14ac:dyDescent="0.3">
      <c r="A107" s="52"/>
      <c r="B107" s="52"/>
      <c r="C107" s="52"/>
      <c r="D107" s="52"/>
      <c r="E107" s="52"/>
    </row>
    <row r="108" spans="1:5" ht="12.75" customHeight="1" x14ac:dyDescent="0.3">
      <c r="A108" s="333" t="s">
        <v>211</v>
      </c>
      <c r="B108" s="333"/>
      <c r="C108" s="333"/>
      <c r="D108" s="333"/>
      <c r="E108" s="333"/>
    </row>
    <row r="109" spans="1:5" ht="12.75" customHeight="1" x14ac:dyDescent="0.3">
      <c r="A109" s="333" t="s">
        <v>212</v>
      </c>
      <c r="B109" s="333"/>
      <c r="C109" s="333"/>
      <c r="D109" s="333"/>
      <c r="E109" s="333"/>
    </row>
    <row r="110" spans="1:5" ht="12.75" customHeight="1" x14ac:dyDescent="0.3">
      <c r="A110" s="324" t="s">
        <v>213</v>
      </c>
      <c r="B110" s="325" t="s">
        <v>214</v>
      </c>
      <c r="C110" s="327" t="s">
        <v>215</v>
      </c>
      <c r="D110" s="327"/>
      <c r="E110" s="327"/>
    </row>
    <row r="111" spans="1:5" ht="12.75" customHeight="1" x14ac:dyDescent="0.3">
      <c r="A111" s="324"/>
      <c r="B111" s="326"/>
      <c r="C111" s="68" t="s">
        <v>216</v>
      </c>
      <c r="D111" s="68" t="s">
        <v>217</v>
      </c>
      <c r="E111" s="69" t="s">
        <v>218</v>
      </c>
    </row>
    <row r="112" spans="1:5" ht="12.75" customHeight="1" x14ac:dyDescent="0.3">
      <c r="A112" s="57">
        <v>1</v>
      </c>
      <c r="B112" s="58"/>
      <c r="C112" s="58"/>
      <c r="D112" s="58"/>
      <c r="E112" s="58"/>
    </row>
    <row r="113" spans="1:5" ht="12.75" customHeight="1" x14ac:dyDescent="0.3">
      <c r="A113" s="57">
        <v>2</v>
      </c>
      <c r="B113" s="58"/>
      <c r="C113" s="58"/>
      <c r="D113" s="58"/>
      <c r="E113" s="58"/>
    </row>
    <row r="114" spans="1:5" ht="12.75" customHeight="1" x14ac:dyDescent="0.3">
      <c r="A114" s="57">
        <v>3</v>
      </c>
      <c r="B114" s="58"/>
      <c r="C114" s="58"/>
      <c r="D114" s="58"/>
      <c r="E114" s="58"/>
    </row>
    <row r="115" spans="1:5" ht="12.75" customHeight="1" x14ac:dyDescent="0.3">
      <c r="A115" s="57">
        <v>4</v>
      </c>
      <c r="B115" s="58"/>
      <c r="C115" s="58"/>
      <c r="D115" s="58"/>
      <c r="E115" s="58"/>
    </row>
    <row r="116" spans="1:5" ht="12.75" customHeight="1" x14ac:dyDescent="0.3">
      <c r="A116" s="57" t="s">
        <v>33</v>
      </c>
      <c r="B116" s="58">
        <f>SUM(B112:B115)</f>
        <v>0</v>
      </c>
      <c r="C116" s="58"/>
      <c r="D116" s="58"/>
      <c r="E116" s="58"/>
    </row>
  </sheetData>
  <mergeCells count="47">
    <mergeCell ref="A1:E1"/>
    <mergeCell ref="A2:E2"/>
    <mergeCell ref="A3:E3"/>
    <mergeCell ref="A4:E4"/>
    <mergeCell ref="A5:B5"/>
    <mergeCell ref="C5:E5"/>
    <mergeCell ref="A17:A19"/>
    <mergeCell ref="B17:C19"/>
    <mergeCell ref="D17:D19"/>
    <mergeCell ref="E17:E19"/>
    <mergeCell ref="A6:B6"/>
    <mergeCell ref="C6:E6"/>
    <mergeCell ref="A7:B7"/>
    <mergeCell ref="C7:E7"/>
    <mergeCell ref="A8:B8"/>
    <mergeCell ref="A9:B9"/>
    <mergeCell ref="A10:B10"/>
    <mergeCell ref="D10:E10"/>
    <mergeCell ref="D11:E11"/>
    <mergeCell ref="D12:E12"/>
    <mergeCell ref="C13:C14"/>
    <mergeCell ref="A97:E97"/>
    <mergeCell ref="A25:E25"/>
    <mergeCell ref="A26:E26"/>
    <mergeCell ref="A28:B28"/>
    <mergeCell ref="A29:B29"/>
    <mergeCell ref="A30:B30"/>
    <mergeCell ref="A31:B31"/>
    <mergeCell ref="A32:B32"/>
    <mergeCell ref="A60:E60"/>
    <mergeCell ref="A76:E76"/>
    <mergeCell ref="A78:E78"/>
    <mergeCell ref="A81:B81"/>
    <mergeCell ref="A110:A111"/>
    <mergeCell ref="B110:B111"/>
    <mergeCell ref="C110:E110"/>
    <mergeCell ref="A98:E100"/>
    <mergeCell ref="A101:A102"/>
    <mergeCell ref="B101:B102"/>
    <mergeCell ref="C101:E104"/>
    <mergeCell ref="A103:A104"/>
    <mergeCell ref="B103:B104"/>
    <mergeCell ref="C105:E105"/>
    <mergeCell ref="A106:B106"/>
    <mergeCell ref="C106:E106"/>
    <mergeCell ref="A108:E108"/>
    <mergeCell ref="A109:E109"/>
  </mergeCells>
  <printOptions horizontalCentered="1"/>
  <pageMargins left="0.38" right="0.37" top="0.75" bottom="0.73"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INPUT</vt:lpstr>
      <vt:lpstr>STATEMENT</vt:lpstr>
      <vt:lpstr>TAX</vt:lpstr>
      <vt:lpstr>FORM_16_PART_B</vt:lpstr>
      <vt:lpstr>FORM 16-B</vt:lpstr>
      <vt:lpstr>ONLY TAX CAL</vt:lpstr>
      <vt:lpstr>MATRIX</vt:lpstr>
      <vt:lpstr>FORM16</vt:lpstr>
      <vt:lpstr>'ONLY TAX CAL'!Print_Area</vt:lpstr>
      <vt:lpstr>STATEMENT!Print_Area</vt:lpstr>
      <vt:lpstr>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RANJAN</dc:creator>
  <cp:lastModifiedBy>Ranjan Mandal</cp:lastModifiedBy>
  <cp:lastPrinted>2026-02-06T12:57:34Z</cp:lastPrinted>
  <dcterms:created xsi:type="dcterms:W3CDTF">2019-09-13T15:30:22Z</dcterms:created>
  <dcterms:modified xsi:type="dcterms:W3CDTF">2026-07-11T16:58:57Z</dcterms:modified>
</cp:coreProperties>
</file>